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2295" windowWidth="13635" windowHeight="7305" activeTab="1"/>
  </bookViews>
  <sheets>
    <sheet name="Feuil1" sheetId="1" r:id="rId1"/>
    <sheet name="Feuil2" sheetId="2" r:id="rId2"/>
    <sheet name="Graph1" sheetId="3" r:id="rId3"/>
  </sheets>
  <definedNames>
    <definedName name="_xlnm.Print_Area" localSheetId="0">'Feuil1'!$A$1:$U$77</definedName>
    <definedName name="_xlnm.Print_Area" localSheetId="1">'Feuil2'!$A$3:$P$43</definedName>
  </definedNames>
  <calcPr fullCalcOnLoad="1"/>
</workbook>
</file>

<file path=xl/sharedStrings.xml><?xml version="1.0" encoding="utf-8"?>
<sst xmlns="http://schemas.openxmlformats.org/spreadsheetml/2006/main" count="235" uniqueCount="170">
  <si>
    <t>Note</t>
  </si>
  <si>
    <t>c (m/s)</t>
  </si>
  <si>
    <t>Lcl (m)</t>
  </si>
  <si>
    <t>Wa (m)</t>
  </si>
  <si>
    <t>B</t>
  </si>
  <si>
    <t>c</t>
  </si>
  <si>
    <t>d</t>
  </si>
  <si>
    <t>e</t>
  </si>
  <si>
    <t>f</t>
  </si>
  <si>
    <t>g</t>
  </si>
  <si>
    <t>a</t>
  </si>
  <si>
    <t>b</t>
  </si>
  <si>
    <t>c'</t>
  </si>
  <si>
    <t>d'</t>
  </si>
  <si>
    <t>e'</t>
  </si>
  <si>
    <t>f'</t>
  </si>
  <si>
    <t>g'</t>
  </si>
  <si>
    <t>a'</t>
  </si>
  <si>
    <t>b'</t>
  </si>
  <si>
    <t>c''</t>
  </si>
  <si>
    <t>d''</t>
  </si>
  <si>
    <t>e''</t>
  </si>
  <si>
    <t>f''</t>
  </si>
  <si>
    <t>g''</t>
  </si>
  <si>
    <t>a''</t>
  </si>
  <si>
    <t>b''</t>
  </si>
  <si>
    <t>c'''</t>
  </si>
  <si>
    <t>d'''</t>
  </si>
  <si>
    <t>e'''</t>
  </si>
  <si>
    <t>(mm)</t>
  </si>
  <si>
    <t>Fa</t>
  </si>
  <si>
    <t>Fa #</t>
  </si>
  <si>
    <t>Sol</t>
  </si>
  <si>
    <t>Sol #</t>
  </si>
  <si>
    <t>La</t>
  </si>
  <si>
    <t>La #</t>
  </si>
  <si>
    <t>Si</t>
  </si>
  <si>
    <t>Do #</t>
  </si>
  <si>
    <t>Ré</t>
  </si>
  <si>
    <t>Ré #</t>
  </si>
  <si>
    <t>Mi</t>
  </si>
  <si>
    <t>N Ising</t>
  </si>
  <si>
    <t xml:space="preserve">H pied </t>
  </si>
  <si>
    <t>H bouchon</t>
  </si>
  <si>
    <t>Arrière</t>
  </si>
  <si>
    <t>Avant</t>
  </si>
  <si>
    <t>Jeu</t>
  </si>
  <si>
    <t>Longueur</t>
  </si>
  <si>
    <t>totale</t>
  </si>
  <si>
    <t>Hauteur</t>
  </si>
  <si>
    <t>bouche</t>
  </si>
  <si>
    <t>Long.</t>
  </si>
  <si>
    <t>int.</t>
  </si>
  <si>
    <t>Accous.</t>
  </si>
  <si>
    <t>(m)</t>
  </si>
  <si>
    <t>(Hz)</t>
  </si>
  <si>
    <t>théor.</t>
  </si>
  <si>
    <t>Epaisseur paroi</t>
  </si>
  <si>
    <t>Dimensions</t>
  </si>
  <si>
    <t>Position tuyau</t>
  </si>
  <si>
    <t>Rang</t>
  </si>
  <si>
    <t>tube</t>
  </si>
  <si>
    <t>c#</t>
  </si>
  <si>
    <t>d#</t>
  </si>
  <si>
    <t>f#</t>
  </si>
  <si>
    <t>g#</t>
  </si>
  <si>
    <t>a#</t>
  </si>
  <si>
    <t>c'#</t>
  </si>
  <si>
    <t>d'#</t>
  </si>
  <si>
    <t>f'#</t>
  </si>
  <si>
    <t>g'#</t>
  </si>
  <si>
    <t>a'#</t>
  </si>
  <si>
    <t>c"#</t>
  </si>
  <si>
    <t>d"#</t>
  </si>
  <si>
    <t>f"#</t>
  </si>
  <si>
    <t>g"#</t>
  </si>
  <si>
    <t>a"#</t>
  </si>
  <si>
    <t>c'''#</t>
  </si>
  <si>
    <t>d'''#</t>
  </si>
  <si>
    <t>N°</t>
  </si>
  <si>
    <t>MIDI</t>
  </si>
  <si>
    <t>Fréq.</t>
  </si>
  <si>
    <t>Paramètres</t>
  </si>
  <si>
    <r>
      <t>Pression (cm H</t>
    </r>
    <r>
      <rPr>
        <sz val="5"/>
        <rFont val="Arial"/>
        <family val="2"/>
      </rPr>
      <t>2</t>
    </r>
    <r>
      <rPr>
        <sz val="8"/>
        <rFont val="Arial"/>
        <family val="2"/>
      </rPr>
      <t>0)</t>
    </r>
  </si>
  <si>
    <t>F (Hz)</t>
  </si>
  <si>
    <t>Constantes de construction</t>
  </si>
  <si>
    <t>positif</t>
  </si>
  <si>
    <t>lèvre</t>
  </si>
  <si>
    <t xml:space="preserve">largeur </t>
  </si>
  <si>
    <t>largeur</t>
  </si>
  <si>
    <t>façade</t>
  </si>
  <si>
    <t>surface</t>
  </si>
  <si>
    <t>planches</t>
  </si>
  <si>
    <t>total =</t>
  </si>
  <si>
    <t>en m</t>
  </si>
  <si>
    <t>en m2</t>
  </si>
  <si>
    <t>f'''</t>
  </si>
  <si>
    <t>Do1</t>
  </si>
  <si>
    <t>Do2</t>
  </si>
  <si>
    <t>Do3</t>
  </si>
  <si>
    <t>Do4</t>
  </si>
  <si>
    <t>Do5</t>
  </si>
  <si>
    <t>h</t>
  </si>
  <si>
    <t>H</t>
  </si>
  <si>
    <t>l</t>
  </si>
  <si>
    <t>L</t>
  </si>
  <si>
    <t>P</t>
  </si>
  <si>
    <t>section</t>
  </si>
  <si>
    <t>prof</t>
  </si>
  <si>
    <t>Lumière</t>
  </si>
  <si>
    <t>réelle</t>
  </si>
  <si>
    <t>aérodyn</t>
  </si>
  <si>
    <t>taille</t>
  </si>
  <si>
    <t>VMC</t>
  </si>
  <si>
    <t>lumière</t>
  </si>
  <si>
    <t>Ø int</t>
  </si>
  <si>
    <t>Ø ext</t>
  </si>
  <si>
    <t>Ø siège</t>
  </si>
  <si>
    <t>Ø chambre</t>
  </si>
  <si>
    <t>Ø capillaire</t>
  </si>
  <si>
    <t>voir feuille 2</t>
  </si>
  <si>
    <t>Ø vers pan</t>
  </si>
  <si>
    <t>Quant,</t>
  </si>
  <si>
    <t>progr,</t>
  </si>
  <si>
    <t>V (m/s)</t>
  </si>
  <si>
    <t>larg</t>
  </si>
  <si>
    <t>jeu</t>
  </si>
  <si>
    <t>Surface totale parois flûtes (m²)</t>
  </si>
  <si>
    <t>Largeur totale flûtes (m)</t>
  </si>
  <si>
    <t xml:space="preserve">hors tout </t>
  </si>
  <si>
    <t>surface memb</t>
  </si>
  <si>
    <t>S/s</t>
  </si>
  <si>
    <t>s</t>
  </si>
  <si>
    <t>Herman</t>
  </si>
  <si>
    <t>cm²</t>
  </si>
  <si>
    <t>x</t>
  </si>
  <si>
    <t>Di</t>
  </si>
  <si>
    <t>De</t>
  </si>
  <si>
    <t xml:space="preserve">Section </t>
  </si>
  <si>
    <t>S</t>
  </si>
  <si>
    <t>débattement</t>
  </si>
  <si>
    <t>Dimensions de tuyaux d'orgue bouchés, à section rectangulaire 3/4 avec vannes à membranes concentriques</t>
  </si>
  <si>
    <t>Dc</t>
  </si>
  <si>
    <t>Dp</t>
  </si>
  <si>
    <t>7 / 8,</t>
  </si>
  <si>
    <t>Di/De</t>
  </si>
  <si>
    <t>réel</t>
  </si>
  <si>
    <t>mini</t>
  </si>
  <si>
    <t>mm²</t>
  </si>
  <si>
    <t>total=</t>
  </si>
  <si>
    <t>9 / 10,</t>
  </si>
  <si>
    <t>1b à 5b</t>
  </si>
  <si>
    <t>6b à 12b</t>
  </si>
  <si>
    <t>1 à 8</t>
  </si>
  <si>
    <t>9 à 16</t>
  </si>
  <si>
    <t>17 à 25</t>
  </si>
  <si>
    <t>26 à 33</t>
  </si>
  <si>
    <t>34 à 42</t>
  </si>
  <si>
    <t>12 / 13,</t>
  </si>
  <si>
    <t>10 / 11,</t>
  </si>
  <si>
    <t>8 / 9,</t>
  </si>
  <si>
    <t>15 /16</t>
  </si>
  <si>
    <t>17 / 18,</t>
  </si>
  <si>
    <t>Dimensions des  Vannes à Membranes Concentriques VMC méthode Van de Vrie</t>
  </si>
  <si>
    <t>Méthode Van de Vrie</t>
  </si>
  <si>
    <t xml:space="preserve">1) le Ø tuyau d'arrivée est choisi pour avoir un S/s entre 5 et 8  (S/s &gt;8; s trop petit la fermeture est lente, S/s &lt;5; s trop grand la flûte est faible ou a un délai de transition trop important, ) </t>
  </si>
  <si>
    <t>2) Le hors tout réel est adapté en fonction de la largeur de la plus petite flûte du groupe</t>
  </si>
  <si>
    <t>3) Le Ø du siége est tel que la section de sortie de l'espace anulaire est égal à la section d'entrée le Ø réel est le Ø imédiatement supérieur</t>
  </si>
  <si>
    <t>4) La hauteur de débattement de la membrane doit être telle que la surface de sortie soit égale à la section d'arrivée (3,14*Di²/4=De*3,14*H) soit H=Di²/4De</t>
  </si>
  <si>
    <t>5) Le diamètre de la chambre est environ 10 fois le débattement à choisir en fonction des diamètres disponibles de son outillage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</si>
</sst>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SEK&quot;\ #,##0_);\(&quot;SEK&quot;\ #,##0\)"/>
    <numFmt numFmtId="173" formatCode="&quot;SEK&quot;\ #,##0_);[Red]\(&quot;SEK&quot;\ #,##0\)"/>
    <numFmt numFmtId="174" formatCode="&quot;SEK&quot;\ #,##0.00_);\(&quot;SEK&quot;\ #,##0.00\)"/>
    <numFmt numFmtId="175" formatCode="&quot;SEK&quot;\ #,##0.00_);[Red]\(&quot;SEK&quot;\ #,##0.00\)"/>
    <numFmt numFmtId="176" formatCode="_(&quot;SEK&quot;\ * #,##0_);_(&quot;SEK&quot;\ * \(#,##0\);_(&quot;SEK&quot;\ * &quot;-&quot;_);_(@_)"/>
    <numFmt numFmtId="177" formatCode="_(* #,##0_);_(* \(#,##0\);_(* &quot;-&quot;_);_(@_)"/>
    <numFmt numFmtId="178" formatCode="_(&quot;SEK&quot;\ * #,##0.00_);_(&quot;SEK&quot;\ * \(#,##0.00\);_(&quot;SEK&quot;\ 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sz val="5"/>
      <name val="Arial"/>
      <family val="2"/>
    </font>
    <font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0"/>
    </font>
    <font>
      <b/>
      <sz val="12"/>
      <color indexed="12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9.5"/>
      <name val="Arial"/>
      <family val="0"/>
    </font>
    <font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61"/>
      <name val="Arial"/>
      <family val="0"/>
    </font>
    <font>
      <b/>
      <sz val="10"/>
      <color indexed="60"/>
      <name val="Arial"/>
      <family val="0"/>
    </font>
    <font>
      <b/>
      <sz val="10"/>
      <color indexed="50"/>
      <name val="Arial"/>
      <family val="2"/>
    </font>
    <font>
      <sz val="10"/>
      <color indexed="50"/>
      <name val="Arial"/>
      <family val="2"/>
    </font>
    <font>
      <b/>
      <sz val="14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81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82" fontId="0" fillId="0" borderId="0" xfId="0" applyNumberFormat="1" applyAlignment="1">
      <alignment/>
    </xf>
    <xf numFmtId="182" fontId="7" fillId="0" borderId="0" xfId="0" applyNumberFormat="1" applyFont="1" applyAlignment="1">
      <alignment horizontal="right"/>
    </xf>
    <xf numFmtId="182" fontId="7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183" fontId="0" fillId="0" borderId="0" xfId="0" applyNumberFormat="1" applyAlignment="1">
      <alignment/>
    </xf>
    <xf numFmtId="183" fontId="4" fillId="0" borderId="0" xfId="0" applyNumberFormat="1" applyFont="1" applyAlignment="1">
      <alignment horizontal="right"/>
    </xf>
    <xf numFmtId="18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82" fontId="4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center"/>
    </xf>
    <xf numFmtId="182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2" fontId="3" fillId="0" borderId="3" xfId="0" applyNumberFormat="1" applyFont="1" applyBorder="1" applyAlignment="1">
      <alignment horizontal="center"/>
    </xf>
    <xf numFmtId="182" fontId="3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82" fontId="4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8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/>
    </xf>
    <xf numFmtId="181" fontId="4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82" fontId="4" fillId="0" borderId="4" xfId="0" applyNumberFormat="1" applyFont="1" applyBorder="1" applyAlignment="1">
      <alignment horizontal="center"/>
    </xf>
    <xf numFmtId="181" fontId="0" fillId="3" borderId="1" xfId="0" applyNumberFormat="1" applyFill="1" applyBorder="1" applyAlignment="1">
      <alignment horizontal="center"/>
    </xf>
    <xf numFmtId="181" fontId="0" fillId="4" borderId="1" xfId="0" applyNumberForma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181" fontId="1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181" fontId="3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81" fontId="1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2" fontId="9" fillId="0" borderId="0" xfId="0" applyNumberFormat="1" applyFont="1" applyAlignment="1">
      <alignment/>
    </xf>
    <xf numFmtId="182" fontId="11" fillId="0" borderId="0" xfId="0" applyNumberFormat="1" applyFont="1" applyAlignment="1">
      <alignment horizontal="right"/>
    </xf>
    <xf numFmtId="182" fontId="9" fillId="0" borderId="1" xfId="0" applyNumberFormat="1" applyFont="1" applyBorder="1" applyAlignment="1">
      <alignment horizontal="center"/>
    </xf>
    <xf numFmtId="181" fontId="9" fillId="0" borderId="1" xfId="0" applyNumberFormat="1" applyFont="1" applyBorder="1" applyAlignment="1">
      <alignment horizontal="center"/>
    </xf>
    <xf numFmtId="18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/>
    </xf>
    <xf numFmtId="1" fontId="16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right"/>
    </xf>
    <xf numFmtId="1" fontId="17" fillId="0" borderId="0" xfId="0" applyNumberFormat="1" applyFont="1" applyAlignment="1">
      <alignment horizontal="center"/>
    </xf>
    <xf numFmtId="1" fontId="18" fillId="0" borderId="2" xfId="0" applyNumberFormat="1" applyFont="1" applyBorder="1" applyAlignment="1">
      <alignment horizontal="center"/>
    </xf>
    <xf numFmtId="1" fontId="18" fillId="0" borderId="3" xfId="0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2" fontId="17" fillId="0" borderId="0" xfId="0" applyNumberFormat="1" applyFont="1" applyAlignment="1">
      <alignment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/>
    </xf>
    <xf numFmtId="1" fontId="15" fillId="3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/>
    </xf>
    <xf numFmtId="1" fontId="15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2" fontId="17" fillId="0" borderId="0" xfId="0" applyNumberFormat="1" applyFont="1" applyBorder="1" applyAlignment="1">
      <alignment/>
    </xf>
    <xf numFmtId="0" fontId="0" fillId="2" borderId="1" xfId="0" applyFont="1" applyFill="1" applyBorder="1" applyAlignment="1">
      <alignment horizontal="center"/>
    </xf>
    <xf numFmtId="181" fontId="14" fillId="2" borderId="1" xfId="0" applyNumberFormat="1" applyFont="1" applyFill="1" applyBorder="1" applyAlignment="1">
      <alignment horizontal="center"/>
    </xf>
    <xf numFmtId="181" fontId="12" fillId="2" borderId="1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81" fontId="0" fillId="0" borderId="8" xfId="0" applyNumberFormat="1" applyFill="1" applyBorder="1" applyAlignment="1">
      <alignment horizontal="center"/>
    </xf>
    <xf numFmtId="181" fontId="9" fillId="0" borderId="8" xfId="0" applyNumberFormat="1" applyFont="1" applyFill="1" applyBorder="1" applyAlignment="1">
      <alignment horizontal="center"/>
    </xf>
    <xf numFmtId="2" fontId="17" fillId="0" borderId="8" xfId="0" applyNumberFormat="1" applyFont="1" applyFill="1" applyBorder="1" applyAlignment="1">
      <alignment/>
    </xf>
    <xf numFmtId="1" fontId="15" fillId="0" borderId="8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181" fontId="14" fillId="3" borderId="1" xfId="0" applyNumberFormat="1" applyFont="1" applyFill="1" applyBorder="1" applyAlignment="1">
      <alignment horizontal="center"/>
    </xf>
    <xf numFmtId="181" fontId="14" fillId="4" borderId="1" xfId="0" applyNumberFormat="1" applyFont="1" applyFill="1" applyBorder="1" applyAlignment="1">
      <alignment horizontal="center"/>
    </xf>
    <xf numFmtId="181" fontId="12" fillId="3" borderId="1" xfId="0" applyNumberFormat="1" applyFont="1" applyFill="1" applyBorder="1" applyAlignment="1">
      <alignment horizontal="center"/>
    </xf>
    <xf numFmtId="181" fontId="12" fillId="4" borderId="1" xfId="0" applyNumberFormat="1" applyFont="1" applyFill="1" applyBorder="1" applyAlignment="1">
      <alignment horizontal="center"/>
    </xf>
    <xf numFmtId="181" fontId="21" fillId="2" borderId="1" xfId="0" applyNumberFormat="1" applyFont="1" applyFill="1" applyBorder="1" applyAlignment="1">
      <alignment horizontal="center"/>
    </xf>
    <xf numFmtId="181" fontId="22" fillId="0" borderId="0" xfId="0" applyNumberFormat="1" applyFont="1" applyBorder="1" applyAlignment="1">
      <alignment horizontal="center"/>
    </xf>
    <xf numFmtId="181" fontId="21" fillId="3" borderId="1" xfId="0" applyNumberFormat="1" applyFont="1" applyFill="1" applyBorder="1" applyAlignment="1">
      <alignment horizontal="center"/>
    </xf>
    <xf numFmtId="181" fontId="21" fillId="0" borderId="8" xfId="0" applyNumberFormat="1" applyFont="1" applyFill="1" applyBorder="1" applyAlignment="1">
      <alignment horizontal="center"/>
    </xf>
    <xf numFmtId="181" fontId="21" fillId="4" borderId="1" xfId="0" applyNumberFormat="1" applyFont="1" applyFill="1" applyBorder="1" applyAlignment="1">
      <alignment horizontal="center"/>
    </xf>
    <xf numFmtId="182" fontId="19" fillId="2" borderId="1" xfId="0" applyNumberFormat="1" applyFont="1" applyFill="1" applyBorder="1" applyAlignment="1">
      <alignment horizontal="center"/>
    </xf>
    <xf numFmtId="182" fontId="20" fillId="0" borderId="3" xfId="0" applyNumberFormat="1" applyFont="1" applyBorder="1" applyAlignment="1">
      <alignment horizontal="center"/>
    </xf>
    <xf numFmtId="182" fontId="19" fillId="3" borderId="1" xfId="0" applyNumberFormat="1" applyFont="1" applyFill="1" applyBorder="1" applyAlignment="1">
      <alignment horizontal="center"/>
    </xf>
    <xf numFmtId="182" fontId="19" fillId="4" borderId="1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2" fontId="0" fillId="0" borderId="4" xfId="0" applyNumberFormat="1" applyBorder="1" applyAlignment="1">
      <alignment/>
    </xf>
    <xf numFmtId="1" fontId="15" fillId="0" borderId="4" xfId="0" applyNumberFormat="1" applyFont="1" applyBorder="1" applyAlignment="1">
      <alignment horizontal="center"/>
    </xf>
    <xf numFmtId="182" fontId="2" fillId="0" borderId="0" xfId="0" applyNumberFormat="1" applyFont="1" applyAlignment="1">
      <alignment horizontal="center"/>
    </xf>
    <xf numFmtId="182" fontId="0" fillId="0" borderId="0" xfId="0" applyNumberFormat="1" applyFont="1" applyAlignment="1">
      <alignment horizontal="center"/>
    </xf>
    <xf numFmtId="181" fontId="9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1" fontId="6" fillId="0" borderId="0" xfId="0" applyNumberFormat="1" applyFont="1" applyAlignment="1">
      <alignment horizontal="center"/>
    </xf>
    <xf numFmtId="181" fontId="2" fillId="0" borderId="0" xfId="0" applyNumberFormat="1" applyFont="1" applyAlignment="1">
      <alignment horizontal="center"/>
    </xf>
    <xf numFmtId="181" fontId="0" fillId="0" borderId="0" xfId="0" applyNumberFormat="1" applyFont="1" applyAlignment="1">
      <alignment horizontal="center"/>
    </xf>
    <xf numFmtId="182" fontId="0" fillId="0" borderId="0" xfId="0" applyNumberFormat="1" applyAlignment="1">
      <alignment horizontal="center"/>
    </xf>
    <xf numFmtId="182" fontId="6" fillId="0" borderId="0" xfId="0" applyNumberFormat="1" applyFont="1" applyAlignment="1">
      <alignment horizontal="center"/>
    </xf>
    <xf numFmtId="182" fontId="4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5" borderId="0" xfId="0" applyNumberFormat="1" applyFont="1" applyFill="1" applyAlignment="1">
      <alignment horizontal="center"/>
    </xf>
    <xf numFmtId="1" fontId="1" fillId="5" borderId="0" xfId="0" applyNumberFormat="1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5" fillId="6" borderId="0" xfId="0" applyNumberFormat="1" applyFont="1" applyFill="1" applyAlignment="1">
      <alignment horizontal="center"/>
    </xf>
    <xf numFmtId="1" fontId="1" fillId="6" borderId="0" xfId="0" applyNumberFormat="1" applyFont="1" applyFill="1" applyAlignment="1">
      <alignment horizontal="center"/>
    </xf>
    <xf numFmtId="1" fontId="5" fillId="7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1" fontId="13" fillId="0" borderId="0" xfId="0" applyNumberFormat="1" applyFont="1" applyAlignment="1">
      <alignment horizontal="center"/>
    </xf>
    <xf numFmtId="181" fontId="5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2" fontId="0" fillId="4" borderId="1" xfId="0" applyNumberFormat="1" applyFont="1" applyFill="1" applyBorder="1" applyAlignment="1">
      <alignment/>
    </xf>
    <xf numFmtId="2" fontId="9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81" fontId="9" fillId="0" borderId="4" xfId="0" applyNumberFormat="1" applyFont="1" applyBorder="1" applyAlignment="1">
      <alignment horizontal="center"/>
    </xf>
    <xf numFmtId="181" fontId="14" fillId="3" borderId="1" xfId="0" applyNumberFormat="1" applyFont="1" applyFill="1" applyBorder="1" applyAlignment="1">
      <alignment horizontal="center"/>
    </xf>
    <xf numFmtId="181" fontId="14" fillId="4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81" fontId="9" fillId="0" borderId="0" xfId="0" applyNumberFormat="1" applyFont="1" applyAlignment="1">
      <alignment horizontal="center"/>
    </xf>
    <xf numFmtId="181" fontId="5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/>
    </xf>
    <xf numFmtId="182" fontId="1" fillId="6" borderId="0" xfId="0" applyNumberFormat="1" applyFont="1" applyFill="1" applyAlignment="1">
      <alignment horizontal="center"/>
    </xf>
    <xf numFmtId="18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1" fontId="17" fillId="0" borderId="0" xfId="0" applyNumberFormat="1" applyFont="1" applyAlignment="1">
      <alignment horizontal="center"/>
    </xf>
    <xf numFmtId="0" fontId="0" fillId="5" borderId="0" xfId="0" applyFill="1" applyAlignment="1">
      <alignment horizontal="center"/>
    </xf>
    <xf numFmtId="1" fontId="13" fillId="5" borderId="0" xfId="0" applyNumberFormat="1" applyFont="1" applyFill="1" applyAlignment="1">
      <alignment horizontal="center"/>
    </xf>
    <xf numFmtId="1" fontId="0" fillId="5" borderId="0" xfId="0" applyNumberFormat="1" applyFill="1" applyAlignment="1">
      <alignment horizontal="center"/>
    </xf>
    <xf numFmtId="49" fontId="0" fillId="5" borderId="0" xfId="0" applyNumberFormat="1" applyFont="1" applyFill="1" applyAlignment="1">
      <alignment horizontal="center"/>
    </xf>
    <xf numFmtId="182" fontId="26" fillId="5" borderId="0" xfId="0" applyNumberFormat="1" applyFont="1" applyFill="1" applyAlignment="1">
      <alignment horizontal="center"/>
    </xf>
    <xf numFmtId="1" fontId="28" fillId="0" borderId="0" xfId="0" applyNumberFormat="1" applyFont="1" applyAlignment="1">
      <alignment horizontal="center"/>
    </xf>
    <xf numFmtId="1" fontId="28" fillId="0" borderId="0" xfId="0" applyNumberFormat="1" applyFont="1" applyAlignment="1">
      <alignment/>
    </xf>
    <xf numFmtId="1" fontId="28" fillId="5" borderId="0" xfId="0" applyNumberFormat="1" applyFont="1" applyFill="1" applyAlignment="1">
      <alignment horizontal="center"/>
    </xf>
    <xf numFmtId="0" fontId="0" fillId="5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82" fontId="1" fillId="0" borderId="0" xfId="0" applyNumberFormat="1" applyFont="1" applyAlignment="1">
      <alignment horizontal="center"/>
    </xf>
    <xf numFmtId="182" fontId="1" fillId="5" borderId="0" xfId="0" applyNumberFormat="1" applyFont="1" applyFill="1" applyAlignment="1">
      <alignment horizontal="center"/>
    </xf>
    <xf numFmtId="1" fontId="5" fillId="8" borderId="0" xfId="0" applyNumberFormat="1" applyFont="1" applyFill="1" applyAlignment="1">
      <alignment horizontal="center"/>
    </xf>
    <xf numFmtId="0" fontId="0" fillId="8" borderId="0" xfId="0" applyFill="1" applyAlignment="1">
      <alignment horizontal="center"/>
    </xf>
    <xf numFmtId="0" fontId="29" fillId="8" borderId="0" xfId="0" applyFont="1" applyFill="1" applyAlignment="1">
      <alignment horizontal="center"/>
    </xf>
    <xf numFmtId="182" fontId="1" fillId="8" borderId="0" xfId="0" applyNumberFormat="1" applyFont="1" applyFill="1" applyAlignment="1">
      <alignment horizontal="center"/>
    </xf>
    <xf numFmtId="182" fontId="25" fillId="8" borderId="0" xfId="0" applyNumberFormat="1" applyFont="1" applyFill="1" applyAlignment="1">
      <alignment horizontal="center"/>
    </xf>
    <xf numFmtId="1" fontId="28" fillId="8" borderId="0" xfId="0" applyNumberFormat="1" applyFont="1" applyFill="1" applyAlignment="1">
      <alignment horizontal="center"/>
    </xf>
    <xf numFmtId="1" fontId="13" fillId="8" borderId="0" xfId="0" applyNumberFormat="1" applyFont="1" applyFill="1" applyAlignment="1">
      <alignment horizontal="center"/>
    </xf>
    <xf numFmtId="1" fontId="0" fillId="8" borderId="0" xfId="0" applyNumberFormat="1" applyFill="1" applyAlignment="1">
      <alignment horizontal="center"/>
    </xf>
    <xf numFmtId="49" fontId="0" fillId="8" borderId="0" xfId="0" applyNumberFormat="1" applyFont="1" applyFill="1" applyAlignment="1">
      <alignment horizontal="center"/>
    </xf>
    <xf numFmtId="182" fontId="0" fillId="8" borderId="0" xfId="0" applyNumberFormat="1" applyFill="1" applyAlignment="1">
      <alignment horizontal="center"/>
    </xf>
    <xf numFmtId="1" fontId="5" fillId="9" borderId="0" xfId="0" applyNumberFormat="1" applyFont="1" applyFill="1" applyAlignment="1">
      <alignment horizontal="center"/>
    </xf>
    <xf numFmtId="0" fontId="0" fillId="9" borderId="0" xfId="0" applyFill="1" applyAlignment="1">
      <alignment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5" borderId="0" xfId="0" applyFill="1" applyBorder="1" applyAlignment="1">
      <alignment horizontal="center"/>
    </xf>
    <xf numFmtId="49" fontId="0" fillId="5" borderId="0" xfId="0" applyNumberFormat="1" applyFont="1" applyFill="1" applyBorder="1" applyAlignment="1">
      <alignment horizontal="center"/>
    </xf>
    <xf numFmtId="0" fontId="0" fillId="5" borderId="0" xfId="0" applyNumberFormat="1" applyFont="1" applyFill="1" applyBorder="1" applyAlignment="1">
      <alignment horizontal="center"/>
    </xf>
    <xf numFmtId="182" fontId="1" fillId="5" borderId="0" xfId="0" applyNumberFormat="1" applyFont="1" applyFill="1" applyBorder="1" applyAlignment="1">
      <alignment horizontal="center"/>
    </xf>
    <xf numFmtId="1" fontId="13" fillId="5" borderId="0" xfId="0" applyNumberFormat="1" applyFont="1" applyFill="1" applyBorder="1" applyAlignment="1">
      <alignment horizontal="center"/>
    </xf>
    <xf numFmtId="0" fontId="4" fillId="9" borderId="0" xfId="0" applyFont="1" applyFill="1" applyAlignment="1">
      <alignment horizontal="right"/>
    </xf>
    <xf numFmtId="1" fontId="5" fillId="4" borderId="0" xfId="0" applyNumberFormat="1" applyFont="1" applyFill="1" applyAlignment="1">
      <alignment horizontal="center"/>
    </xf>
    <xf numFmtId="182" fontId="1" fillId="4" borderId="0" xfId="0" applyNumberFormat="1" applyFont="1" applyFill="1" applyAlignment="1">
      <alignment horizontal="center"/>
    </xf>
    <xf numFmtId="1" fontId="5" fillId="10" borderId="0" xfId="0" applyNumberFormat="1" applyFont="1" applyFill="1" applyAlignment="1">
      <alignment horizontal="center"/>
    </xf>
    <xf numFmtId="1" fontId="9" fillId="10" borderId="0" xfId="0" applyNumberFormat="1" applyFont="1" applyFill="1" applyAlignment="1">
      <alignment horizontal="center"/>
    </xf>
    <xf numFmtId="1" fontId="5" fillId="11" borderId="0" xfId="0" applyNumberFormat="1" applyFont="1" applyFill="1" applyAlignment="1">
      <alignment horizontal="center"/>
    </xf>
    <xf numFmtId="1" fontId="11" fillId="0" borderId="0" xfId="0" applyNumberFormat="1" applyFont="1" applyAlignment="1">
      <alignment horizontal="center"/>
    </xf>
    <xf numFmtId="1" fontId="5" fillId="8" borderId="1" xfId="0" applyNumberFormat="1" applyFont="1" applyFill="1" applyBorder="1" applyAlignment="1">
      <alignment horizontal="center"/>
    </xf>
    <xf numFmtId="181" fontId="11" fillId="0" borderId="2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3" fontId="0" fillId="0" borderId="1" xfId="0" applyNumberFormat="1" applyBorder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5" borderId="0" xfId="0" applyNumberFormat="1" applyFont="1" applyFill="1" applyAlignment="1">
      <alignment horizontal="center"/>
    </xf>
    <xf numFmtId="0" fontId="30" fillId="8" borderId="0" xfId="0" applyFont="1" applyFill="1" applyAlignment="1">
      <alignment/>
    </xf>
    <xf numFmtId="0" fontId="31" fillId="0" borderId="0" xfId="0" applyFont="1" applyAlignment="1">
      <alignment/>
    </xf>
    <xf numFmtId="1" fontId="31" fillId="0" borderId="0" xfId="0" applyNumberFormat="1" applyFont="1" applyAlignment="1">
      <alignment/>
    </xf>
    <xf numFmtId="1" fontId="31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5" borderId="0" xfId="0" applyFont="1" applyFill="1" applyAlignment="1">
      <alignment horizontal="center"/>
    </xf>
    <xf numFmtId="0" fontId="30" fillId="5" borderId="0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1" fontId="1" fillId="8" borderId="0" xfId="0" applyNumberFormat="1" applyFont="1" applyFill="1" applyAlignment="1">
      <alignment horizontal="center"/>
    </xf>
    <xf numFmtId="0" fontId="5" fillId="9" borderId="0" xfId="0" applyFont="1" applyFill="1" applyAlignment="1">
      <alignment horizontal="right"/>
    </xf>
    <xf numFmtId="1" fontId="5" fillId="10" borderId="0" xfId="0" applyNumberFormat="1" applyFont="1" applyFill="1" applyAlignment="1">
      <alignment horizontal="center"/>
    </xf>
    <xf numFmtId="182" fontId="5" fillId="11" borderId="0" xfId="0" applyNumberFormat="1" applyFont="1" applyFill="1" applyAlignment="1">
      <alignment horizontal="center"/>
    </xf>
    <xf numFmtId="2" fontId="5" fillId="7" borderId="0" xfId="0" applyNumberFormat="1" applyFont="1" applyFill="1" applyAlignment="1">
      <alignment horizontal="center"/>
    </xf>
    <xf numFmtId="1" fontId="5" fillId="11" borderId="0" xfId="0" applyNumberFormat="1" applyFont="1" applyFill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11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82" fontId="7" fillId="0" borderId="1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2" fontId="3" fillId="0" borderId="2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0" fillId="0" borderId="11" xfId="0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81" fontId="1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6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0" xfId="0" applyAlignment="1">
      <alignment/>
    </xf>
    <xf numFmtId="1" fontId="2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méthode van de vrie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275"/>
          <c:w val="0.926"/>
          <c:h val="0.88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Feuil1!$J$19:$J$74</c:f>
              <c:numCache>
                <c:ptCount val="56"/>
                <c:pt idx="0">
                  <c:v>34.75719862635695</c:v>
                </c:pt>
                <c:pt idx="1">
                  <c:v>33.4442050219451</c:v>
                </c:pt>
                <c:pt idx="2">
                  <c:v>32.18081127809046</c:v>
                </c:pt>
                <c:pt idx="3">
                  <c:v>30.96514370237058</c:v>
                </c:pt>
                <c:pt idx="4">
                  <c:v>29.79539938327359</c:v>
                </c:pt>
                <c:pt idx="5">
                  <c:v>28.669843516366967</c:v>
                </c:pt>
                <c:pt idx="6">
                  <c:v>27.586806831473346</c:v>
                </c:pt>
                <c:pt idx="7">
                  <c:v>26.5446831170379</c:v>
                </c:pt>
                <c:pt idx="8">
                  <c:v>25.541926838015446</c:v>
                </c:pt>
                <c:pt idx="9">
                  <c:v>24.57705084374476</c:v>
                </c:pt>
                <c:pt idx="10">
                  <c:v>23.64862416241057</c:v>
                </c:pt>
                <c:pt idx="11">
                  <c:v>22.755269878822293</c:v>
                </c:pt>
                <c:pt idx="13">
                  <c:v>21.895663092362156</c:v>
                </c:pt>
                <c:pt idx="14">
                  <c:v>21.068528952074235</c:v>
                </c:pt>
                <c:pt idx="15">
                  <c:v>20.272640765980253</c:v>
                </c:pt>
                <c:pt idx="16">
                  <c:v>19.50681818181818</c:v>
                </c:pt>
                <c:pt idx="17">
                  <c:v>18.769925436505563</c:v>
                </c:pt>
                <c:pt idx="18">
                  <c:v>18.060869671731393</c:v>
                </c:pt>
                <c:pt idx="19">
                  <c:v>17.37859931317848</c:v>
                </c:pt>
                <c:pt idx="20">
                  <c:v>16.72210251097255</c:v>
                </c:pt>
                <c:pt idx="21">
                  <c:v>16.09040563904523</c:v>
                </c:pt>
                <c:pt idx="22">
                  <c:v>15.48257185118529</c:v>
                </c:pt>
                <c:pt idx="23">
                  <c:v>14.897699691636799</c:v>
                </c:pt>
                <c:pt idx="24">
                  <c:v>14.334921758183484</c:v>
                </c:pt>
                <c:pt idx="25">
                  <c:v>13.793403415736677</c:v>
                </c:pt>
                <c:pt idx="26">
                  <c:v>13.27234155851895</c:v>
                </c:pt>
                <c:pt idx="27">
                  <c:v>12.770963419007725</c:v>
                </c:pt>
                <c:pt idx="28">
                  <c:v>12.288525421872382</c:v>
                </c:pt>
                <c:pt idx="30">
                  <c:v>11.824312081205285</c:v>
                </c:pt>
                <c:pt idx="31">
                  <c:v>11.377634939411145</c:v>
                </c:pt>
                <c:pt idx="32">
                  <c:v>10.947831546181078</c:v>
                </c:pt>
                <c:pt idx="33">
                  <c:v>10.534264476037118</c:v>
                </c:pt>
                <c:pt idx="34">
                  <c:v>10.136320382990126</c:v>
                </c:pt>
                <c:pt idx="35">
                  <c:v>9.75340909090909</c:v>
                </c:pt>
                <c:pt idx="36">
                  <c:v>9.384962718252781</c:v>
                </c:pt>
                <c:pt idx="37">
                  <c:v>9.030434835865696</c:v>
                </c:pt>
                <c:pt idx="38">
                  <c:v>8.68929965658924</c:v>
                </c:pt>
                <c:pt idx="39">
                  <c:v>8.361051255486277</c:v>
                </c:pt>
                <c:pt idx="40">
                  <c:v>8.045202819522615</c:v>
                </c:pt>
                <c:pt idx="41">
                  <c:v>7.741285925592645</c:v>
                </c:pt>
                <c:pt idx="42">
                  <c:v>7.448849845818398</c:v>
                </c:pt>
                <c:pt idx="43">
                  <c:v>7.167460879091742</c:v>
                </c:pt>
                <c:pt idx="44">
                  <c:v>6.896701707868337</c:v>
                </c:pt>
                <c:pt idx="45">
                  <c:v>6.636170779259475</c:v>
                </c:pt>
                <c:pt idx="46">
                  <c:v>6.385481709503861</c:v>
                </c:pt>
                <c:pt idx="47">
                  <c:v>6.144262710936191</c:v>
                </c:pt>
                <c:pt idx="48">
                  <c:v>5.9121560406026425</c:v>
                </c:pt>
                <c:pt idx="49">
                  <c:v>5.6888174697055724</c:v>
                </c:pt>
                <c:pt idx="50">
                  <c:v>5.473915773090539</c:v>
                </c:pt>
                <c:pt idx="51">
                  <c:v>5.267132238018559</c:v>
                </c:pt>
                <c:pt idx="52">
                  <c:v>5.068160191495063</c:v>
                </c:pt>
                <c:pt idx="53">
                  <c:v>4.876704545454545</c:v>
                </c:pt>
                <c:pt idx="54">
                  <c:v>4.692481359126391</c:v>
                </c:pt>
                <c:pt idx="55">
                  <c:v>4.515217417932848</c:v>
                </c:pt>
              </c:numCache>
            </c:numRef>
          </c:xVal>
          <c:yVal>
            <c:numRef>
              <c:f>Feuil1!$I$19:$I$74</c:f>
              <c:numCache>
                <c:ptCount val="56"/>
                <c:pt idx="0">
                  <c:v>0.539905408850114</c:v>
                </c:pt>
                <c:pt idx="1">
                  <c:v>0.5399054088501141</c:v>
                </c:pt>
                <c:pt idx="2">
                  <c:v>0.5399054088501143</c:v>
                </c:pt>
                <c:pt idx="3">
                  <c:v>0.5399054088501142</c:v>
                </c:pt>
                <c:pt idx="4">
                  <c:v>0.5399054088501144</c:v>
                </c:pt>
                <c:pt idx="5">
                  <c:v>0.5399054088501144</c:v>
                </c:pt>
                <c:pt idx="6">
                  <c:v>0.5399054088501143</c:v>
                </c:pt>
                <c:pt idx="7">
                  <c:v>0.5399054088501144</c:v>
                </c:pt>
                <c:pt idx="8">
                  <c:v>0.5399054088501143</c:v>
                </c:pt>
                <c:pt idx="9">
                  <c:v>0.5399054088501143</c:v>
                </c:pt>
                <c:pt idx="10">
                  <c:v>0.5399054088501142</c:v>
                </c:pt>
                <c:pt idx="11">
                  <c:v>0.539905408850115</c:v>
                </c:pt>
                <c:pt idx="13">
                  <c:v>0.5399054088501145</c:v>
                </c:pt>
                <c:pt idx="14">
                  <c:v>0.5399054088501144</c:v>
                </c:pt>
                <c:pt idx="15">
                  <c:v>0.5399054088501146</c:v>
                </c:pt>
                <c:pt idx="16">
                  <c:v>0.5399054088501143</c:v>
                </c:pt>
                <c:pt idx="17">
                  <c:v>0.5399054088501145</c:v>
                </c:pt>
                <c:pt idx="18">
                  <c:v>0.5399054088501144</c:v>
                </c:pt>
                <c:pt idx="19">
                  <c:v>0.5399054088501144</c:v>
                </c:pt>
                <c:pt idx="20">
                  <c:v>0.5399054088501141</c:v>
                </c:pt>
                <c:pt idx="21">
                  <c:v>0.5399054088501146</c:v>
                </c:pt>
                <c:pt idx="22">
                  <c:v>0.5399054088501143</c:v>
                </c:pt>
                <c:pt idx="23">
                  <c:v>0.5399054088501146</c:v>
                </c:pt>
                <c:pt idx="24">
                  <c:v>0.5399054088501146</c:v>
                </c:pt>
                <c:pt idx="25">
                  <c:v>0.5399054088501145</c:v>
                </c:pt>
                <c:pt idx="26">
                  <c:v>0.5399054088501142</c:v>
                </c:pt>
                <c:pt idx="27">
                  <c:v>0.5399054088501146</c:v>
                </c:pt>
                <c:pt idx="28">
                  <c:v>0.5399054088501144</c:v>
                </c:pt>
                <c:pt idx="30">
                  <c:v>0.5399054088501142</c:v>
                </c:pt>
                <c:pt idx="31">
                  <c:v>0.5399054088501144</c:v>
                </c:pt>
                <c:pt idx="32">
                  <c:v>0.5399054088501147</c:v>
                </c:pt>
                <c:pt idx="33">
                  <c:v>0.5399054088501144</c:v>
                </c:pt>
                <c:pt idx="34">
                  <c:v>0.5399054088501143</c:v>
                </c:pt>
                <c:pt idx="35">
                  <c:v>0.5399054088501143</c:v>
                </c:pt>
                <c:pt idx="36">
                  <c:v>0.5399054088501145</c:v>
                </c:pt>
                <c:pt idx="37">
                  <c:v>0.5399054088501144</c:v>
                </c:pt>
                <c:pt idx="38">
                  <c:v>0.5399054088501143</c:v>
                </c:pt>
                <c:pt idx="39">
                  <c:v>0.5399054088501144</c:v>
                </c:pt>
                <c:pt idx="40">
                  <c:v>0.5399054088501145</c:v>
                </c:pt>
                <c:pt idx="41">
                  <c:v>0.5399054088501144</c:v>
                </c:pt>
                <c:pt idx="42">
                  <c:v>0.5399054088501142</c:v>
                </c:pt>
                <c:pt idx="43">
                  <c:v>0.5399054088501146</c:v>
                </c:pt>
                <c:pt idx="44">
                  <c:v>0.5399054088501143</c:v>
                </c:pt>
                <c:pt idx="45">
                  <c:v>0.5399054088501142</c:v>
                </c:pt>
                <c:pt idx="46">
                  <c:v>0.5399054088501143</c:v>
                </c:pt>
                <c:pt idx="47">
                  <c:v>0.5399054088501144</c:v>
                </c:pt>
                <c:pt idx="48">
                  <c:v>0.539905408850114</c:v>
                </c:pt>
                <c:pt idx="49">
                  <c:v>0.5399054088501144</c:v>
                </c:pt>
                <c:pt idx="50">
                  <c:v>0.5399054088501145</c:v>
                </c:pt>
                <c:pt idx="51">
                  <c:v>0.5399054088501144</c:v>
                </c:pt>
                <c:pt idx="52">
                  <c:v>0.5399054088501144</c:v>
                </c:pt>
                <c:pt idx="53">
                  <c:v>0.5399054088501142</c:v>
                </c:pt>
                <c:pt idx="54">
                  <c:v>0.5399054088501143</c:v>
                </c:pt>
                <c:pt idx="55">
                  <c:v>0.5399054088501143</c:v>
                </c:pt>
              </c:numCache>
            </c:numRef>
          </c:yVal>
          <c:smooth val="0"/>
        </c:ser>
        <c:axId val="20295031"/>
        <c:axId val="26789904"/>
      </c:scatterChart>
      <c:valAx>
        <c:axId val="20295031"/>
        <c:scaling>
          <c:logBase val="10"/>
          <c:orientation val="maxMin"/>
        </c:scaling>
        <c:axPos val="t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6789904"/>
        <c:crosses val="autoZero"/>
        <c:crossBetween val="midCat"/>
        <c:dispUnits/>
      </c:valAx>
      <c:valAx>
        <c:axId val="26789904"/>
        <c:scaling>
          <c:logBase val="10"/>
          <c:orientation val="maxMin"/>
        </c:scaling>
        <c:axPos val="r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02950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6057900"/>
    <xdr:graphicFrame>
      <xdr:nvGraphicFramePr>
        <xdr:cNvPr id="1" name="Chart 1"/>
        <xdr:cNvGraphicFramePr/>
      </xdr:nvGraphicFramePr>
      <xdr:xfrm>
        <a:off x="0" y="0"/>
        <a:ext cx="956310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W104"/>
  <sheetViews>
    <sheetView zoomScale="83" zoomScaleNormal="83" workbookViewId="0" topLeftCell="A1">
      <selection activeCell="J8" sqref="J8"/>
    </sheetView>
  </sheetViews>
  <sheetFormatPr defaultColWidth="11.421875" defaultRowHeight="12.75"/>
  <cols>
    <col min="1" max="1" width="5.140625" style="36" customWidth="1"/>
    <col min="2" max="2" width="7.8515625" style="19" customWidth="1"/>
    <col min="3" max="3" width="5.8515625" style="0" customWidth="1"/>
    <col min="4" max="4" width="7.7109375" style="0" customWidth="1"/>
    <col min="5" max="5" width="6.7109375" style="9" customWidth="1"/>
    <col min="6" max="6" width="9.00390625" style="84" customWidth="1"/>
    <col min="7" max="7" width="7.8515625" style="84" customWidth="1"/>
    <col min="8" max="8" width="9.7109375" style="84" customWidth="1"/>
    <col min="9" max="9" width="13.8515625" style="9" customWidth="1"/>
    <col min="10" max="10" width="7.421875" style="12" customWidth="1"/>
    <col min="11" max="11" width="7.28125" style="12" customWidth="1"/>
    <col min="12" max="12" width="8.00390625" style="20" customWidth="1"/>
    <col min="13" max="13" width="7.8515625" style="4" customWidth="1"/>
    <col min="14" max="14" width="6.140625" style="9" customWidth="1"/>
    <col min="15" max="15" width="4.8515625" style="19" customWidth="1"/>
    <col min="16" max="16" width="6.421875" style="98" customWidth="1"/>
    <col min="17" max="17" width="10.28125" style="243" customWidth="1"/>
    <col min="18" max="18" width="9.7109375" style="163" customWidth="1"/>
    <col min="19" max="19" width="10.140625" style="163" customWidth="1"/>
    <col min="20" max="20" width="8.8515625" style="173" customWidth="1"/>
    <col min="21" max="21" width="8.8515625" style="177" customWidth="1"/>
    <col min="22" max="22" width="9.140625" style="21" customWidth="1"/>
    <col min="23" max="23" width="12.140625" style="160" customWidth="1"/>
    <col min="24" max="16384" width="9.140625" style="0" customWidth="1"/>
  </cols>
  <sheetData>
    <row r="1" spans="1:17" ht="15.75">
      <c r="A1" s="279" t="s">
        <v>141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</row>
    <row r="2" spans="1:12" ht="15.75">
      <c r="A2" s="37"/>
      <c r="L2" s="180"/>
    </row>
    <row r="3" ht="15.75">
      <c r="A3" s="8" t="s">
        <v>85</v>
      </c>
    </row>
    <row r="4" spans="1:16" ht="15.75">
      <c r="A4" s="290" t="s">
        <v>59</v>
      </c>
      <c r="B4" s="291"/>
      <c r="C4" s="32" t="s">
        <v>44</v>
      </c>
      <c r="D4" s="31" t="s">
        <v>45</v>
      </c>
      <c r="E4" s="246" t="s">
        <v>86</v>
      </c>
      <c r="I4"/>
      <c r="J4"/>
      <c r="K4"/>
      <c r="L4" s="19"/>
      <c r="M4" s="19"/>
      <c r="N4"/>
      <c r="P4" s="99"/>
    </row>
    <row r="5" spans="1:16" ht="18">
      <c r="A5" s="278" t="s">
        <v>42</v>
      </c>
      <c r="B5" s="278"/>
      <c r="C5" s="67">
        <v>0.06</v>
      </c>
      <c r="D5" s="68">
        <v>0.05</v>
      </c>
      <c r="E5" s="132">
        <v>0.08</v>
      </c>
      <c r="F5" s="92"/>
      <c r="G5" s="92"/>
      <c r="H5" s="92"/>
      <c r="I5" s="16"/>
      <c r="J5"/>
      <c r="K5" s="273" t="s">
        <v>164</v>
      </c>
      <c r="L5" s="19"/>
      <c r="M5" s="19"/>
      <c r="N5"/>
      <c r="P5" s="99"/>
    </row>
    <row r="6" spans="1:16" ht="15.75">
      <c r="A6" s="278" t="s">
        <v>43</v>
      </c>
      <c r="B6" s="278"/>
      <c r="C6" s="67">
        <v>0.04</v>
      </c>
      <c r="D6" s="68">
        <v>0.03</v>
      </c>
      <c r="E6" s="132">
        <v>0.04</v>
      </c>
      <c r="F6" s="92"/>
      <c r="G6" s="92"/>
      <c r="H6" s="92"/>
      <c r="I6" s="16"/>
      <c r="J6"/>
      <c r="K6"/>
      <c r="L6" s="19"/>
      <c r="M6" s="19"/>
      <c r="N6"/>
      <c r="P6" s="99"/>
    </row>
    <row r="7" spans="1:16" ht="15.75">
      <c r="A7" s="278" t="s">
        <v>57</v>
      </c>
      <c r="B7" s="278"/>
      <c r="C7" s="67">
        <v>0.006</v>
      </c>
      <c r="D7" s="68">
        <v>0.005</v>
      </c>
      <c r="E7" s="132">
        <v>0.01</v>
      </c>
      <c r="F7" s="92"/>
      <c r="G7" s="92"/>
      <c r="H7" s="92"/>
      <c r="I7"/>
      <c r="J7"/>
      <c r="K7"/>
      <c r="L7" s="56"/>
      <c r="M7" s="62"/>
      <c r="N7"/>
      <c r="P7" s="99"/>
    </row>
    <row r="8" spans="1:13" ht="15.75">
      <c r="A8" s="8"/>
      <c r="E8" s="13"/>
      <c r="F8" s="93"/>
      <c r="G8" s="93"/>
      <c r="H8" s="93"/>
      <c r="J8" s="14"/>
      <c r="K8" s="14"/>
      <c r="L8" s="21"/>
      <c r="M8" s="62"/>
    </row>
    <row r="9" spans="1:23" s="6" customFormat="1" ht="15">
      <c r="A9" s="8" t="s">
        <v>82</v>
      </c>
      <c r="B9" s="24"/>
      <c r="C9" s="7"/>
      <c r="E9" s="10"/>
      <c r="F9" s="85"/>
      <c r="G9" s="85"/>
      <c r="H9" s="85"/>
      <c r="I9" s="10"/>
      <c r="J9" s="13"/>
      <c r="K9" s="13"/>
      <c r="L9" s="74"/>
      <c r="M9" s="62"/>
      <c r="N9" s="10"/>
      <c r="O9" s="24"/>
      <c r="P9" s="100"/>
      <c r="Q9" s="244"/>
      <c r="R9" s="164"/>
      <c r="S9" s="164"/>
      <c r="T9" s="174"/>
      <c r="U9" s="178"/>
      <c r="V9" s="157"/>
      <c r="W9" s="161"/>
    </row>
    <row r="10" spans="1:23" s="3" customFormat="1" ht="15.75">
      <c r="A10" s="38" t="s">
        <v>84</v>
      </c>
      <c r="B10" s="39" t="s">
        <v>1</v>
      </c>
      <c r="C10" s="38" t="s">
        <v>112</v>
      </c>
      <c r="D10" s="39" t="s">
        <v>123</v>
      </c>
      <c r="E10" s="40" t="s">
        <v>41</v>
      </c>
      <c r="F10" s="94" t="s">
        <v>124</v>
      </c>
      <c r="G10" s="94"/>
      <c r="H10" s="94"/>
      <c r="I10" s="285" t="s">
        <v>83</v>
      </c>
      <c r="J10" s="286"/>
      <c r="K10" s="22"/>
      <c r="L10" s="22"/>
      <c r="N10" s="17"/>
      <c r="O10" s="23"/>
      <c r="P10" s="101"/>
      <c r="Q10" s="243"/>
      <c r="R10" s="163"/>
      <c r="S10" s="163"/>
      <c r="T10" s="173"/>
      <c r="U10" s="177"/>
      <c r="V10" s="62"/>
      <c r="W10" s="162"/>
    </row>
    <row r="11" spans="1:23" s="1" customFormat="1" ht="15.75">
      <c r="A11" s="34">
        <v>440</v>
      </c>
      <c r="B11" s="35">
        <v>343.32</v>
      </c>
      <c r="C11" s="34">
        <v>20</v>
      </c>
      <c r="D11" s="41">
        <v>18</v>
      </c>
      <c r="E11" s="35">
        <v>2.3</v>
      </c>
      <c r="F11" s="189">
        <f>SQRT((2*I11)/0.0125)</f>
        <v>41.95235392680606</v>
      </c>
      <c r="G11" s="95"/>
      <c r="H11" s="95"/>
      <c r="I11" s="287">
        <v>11</v>
      </c>
      <c r="J11" s="286"/>
      <c r="K11" s="20"/>
      <c r="L11" s="33"/>
      <c r="N11" s="18"/>
      <c r="O11" s="19"/>
      <c r="P11" s="101"/>
      <c r="Q11" s="243"/>
      <c r="R11" s="163"/>
      <c r="S11" s="163"/>
      <c r="T11" s="173"/>
      <c r="U11" s="177"/>
      <c r="V11" s="21"/>
      <c r="W11" s="160"/>
    </row>
    <row r="12" spans="1:23" s="1" customFormat="1" ht="15.75">
      <c r="A12" s="70"/>
      <c r="B12" s="71"/>
      <c r="C12" s="70"/>
      <c r="D12" s="72"/>
      <c r="E12" s="71"/>
      <c r="F12" s="96"/>
      <c r="G12" s="96"/>
      <c r="H12" s="96"/>
      <c r="I12" s="73"/>
      <c r="J12" s="56"/>
      <c r="K12" s="20"/>
      <c r="L12" s="33"/>
      <c r="N12" s="18"/>
      <c r="O12" s="19"/>
      <c r="P12" s="101"/>
      <c r="Q12" s="243"/>
      <c r="R12" s="163"/>
      <c r="S12" s="163"/>
      <c r="T12" s="173"/>
      <c r="U12" s="177"/>
      <c r="V12" s="21"/>
      <c r="W12" s="160"/>
    </row>
    <row r="13" spans="1:23" s="1" customFormat="1" ht="15.75">
      <c r="A13" s="8" t="s">
        <v>58</v>
      </c>
      <c r="B13" s="19"/>
      <c r="D13" s="2"/>
      <c r="E13" s="11"/>
      <c r="F13" s="87"/>
      <c r="G13" s="87"/>
      <c r="H13" s="87"/>
      <c r="I13" s="11"/>
      <c r="J13" s="5"/>
      <c r="K13" s="5"/>
      <c r="L13" s="75"/>
      <c r="M13" s="2" t="s">
        <v>87</v>
      </c>
      <c r="N13" s="15"/>
      <c r="O13" s="19"/>
      <c r="P13" s="102"/>
      <c r="Q13" s="243"/>
      <c r="R13" s="163"/>
      <c r="S13" s="163"/>
      <c r="T13" s="156" t="s">
        <v>92</v>
      </c>
      <c r="U13" s="75"/>
      <c r="W13" s="160"/>
    </row>
    <row r="14" spans="1:23" s="1" customFormat="1" ht="15.75">
      <c r="A14" s="276" t="s">
        <v>0</v>
      </c>
      <c r="B14" s="277"/>
      <c r="C14" s="69" t="s">
        <v>79</v>
      </c>
      <c r="D14" s="42" t="s">
        <v>81</v>
      </c>
      <c r="E14" s="43" t="s">
        <v>51</v>
      </c>
      <c r="F14" s="88" t="s">
        <v>88</v>
      </c>
      <c r="G14" s="242" t="s">
        <v>108</v>
      </c>
      <c r="H14" s="274" t="s">
        <v>109</v>
      </c>
      <c r="I14" s="275"/>
      <c r="J14" s="45" t="s">
        <v>49</v>
      </c>
      <c r="K14" s="282" t="s">
        <v>47</v>
      </c>
      <c r="L14" s="282"/>
      <c r="M14" s="42" t="s">
        <v>89</v>
      </c>
      <c r="N14" s="44" t="s">
        <v>125</v>
      </c>
      <c r="O14" s="42" t="s">
        <v>46</v>
      </c>
      <c r="P14" s="103" t="s">
        <v>60</v>
      </c>
      <c r="Q14" s="245" t="s">
        <v>107</v>
      </c>
      <c r="R14" s="165" t="s">
        <v>131</v>
      </c>
      <c r="S14" s="165" t="s">
        <v>113</v>
      </c>
      <c r="T14" s="155" t="s">
        <v>88</v>
      </c>
      <c r="U14" s="75" t="s">
        <v>91</v>
      </c>
      <c r="V14" s="21"/>
      <c r="W14" s="160"/>
    </row>
    <row r="15" spans="1:23" s="7" customFormat="1" ht="15.75">
      <c r="A15" s="292"/>
      <c r="B15" s="293"/>
      <c r="C15" s="46" t="s">
        <v>80</v>
      </c>
      <c r="D15" s="47"/>
      <c r="E15" s="48" t="s">
        <v>56</v>
      </c>
      <c r="F15" s="89" t="s">
        <v>52</v>
      </c>
      <c r="G15" s="91" t="s">
        <v>52</v>
      </c>
      <c r="H15" s="89" t="s">
        <v>110</v>
      </c>
      <c r="I15" s="48" t="s">
        <v>111</v>
      </c>
      <c r="J15" s="49" t="s">
        <v>50</v>
      </c>
      <c r="K15" s="49" t="s">
        <v>53</v>
      </c>
      <c r="L15" s="48" t="s">
        <v>48</v>
      </c>
      <c r="M15" s="46" t="s">
        <v>90</v>
      </c>
      <c r="N15" s="48" t="s">
        <v>126</v>
      </c>
      <c r="O15" s="76"/>
      <c r="P15" s="104" t="s">
        <v>61</v>
      </c>
      <c r="Q15" s="245" t="s">
        <v>114</v>
      </c>
      <c r="R15" s="240"/>
      <c r="S15" s="181" t="s">
        <v>120</v>
      </c>
      <c r="T15" s="156" t="s">
        <v>94</v>
      </c>
      <c r="U15" s="86" t="s">
        <v>95</v>
      </c>
      <c r="V15" s="158"/>
      <c r="W15" s="152"/>
    </row>
    <row r="16" spans="1:23" s="3" customFormat="1" ht="15">
      <c r="A16" s="288"/>
      <c r="B16" s="289"/>
      <c r="C16" s="50"/>
      <c r="D16" s="51" t="s">
        <v>55</v>
      </c>
      <c r="E16" s="52" t="s">
        <v>54</v>
      </c>
      <c r="F16" s="83" t="s">
        <v>54</v>
      </c>
      <c r="G16" s="83" t="s">
        <v>54</v>
      </c>
      <c r="H16" s="52" t="s">
        <v>29</v>
      </c>
      <c r="I16" s="52" t="s">
        <v>29</v>
      </c>
      <c r="J16" s="53" t="s">
        <v>29</v>
      </c>
      <c r="K16" s="53" t="s">
        <v>54</v>
      </c>
      <c r="L16" s="52" t="s">
        <v>2</v>
      </c>
      <c r="M16" s="50" t="s">
        <v>3</v>
      </c>
      <c r="N16" s="54"/>
      <c r="O16" s="51"/>
      <c r="P16" s="105"/>
      <c r="Q16" s="181" t="s">
        <v>148</v>
      </c>
      <c r="R16" s="163"/>
      <c r="S16" s="163"/>
      <c r="T16" s="175"/>
      <c r="U16" s="75"/>
      <c r="V16" s="62"/>
      <c r="W16" s="162"/>
    </row>
    <row r="17" spans="1:23" s="3" customFormat="1" ht="15.75">
      <c r="A17" s="283"/>
      <c r="B17" s="284"/>
      <c r="C17" s="146"/>
      <c r="D17" s="147"/>
      <c r="E17" s="148"/>
      <c r="F17" s="149" t="s">
        <v>104</v>
      </c>
      <c r="G17" s="183" t="s">
        <v>106</v>
      </c>
      <c r="H17" s="149"/>
      <c r="I17" s="148" t="s">
        <v>6</v>
      </c>
      <c r="J17" s="66" t="s">
        <v>102</v>
      </c>
      <c r="K17" s="66" t="s">
        <v>103</v>
      </c>
      <c r="L17" s="148"/>
      <c r="M17" s="147" t="s">
        <v>105</v>
      </c>
      <c r="N17" s="150"/>
      <c r="O17" s="147"/>
      <c r="P17" s="151"/>
      <c r="Q17" s="245" t="s">
        <v>132</v>
      </c>
      <c r="R17" s="163"/>
      <c r="S17" s="163" t="s">
        <v>145</v>
      </c>
      <c r="T17" s="175"/>
      <c r="U17" s="176"/>
      <c r="V17" s="90"/>
      <c r="W17" s="162"/>
    </row>
    <row r="18" spans="1:23" s="3" customFormat="1" ht="15">
      <c r="A18" s="81"/>
      <c r="B18" s="82"/>
      <c r="C18" s="77"/>
      <c r="D18" s="78"/>
      <c r="E18" s="79"/>
      <c r="F18" s="97"/>
      <c r="G18" s="154"/>
      <c r="H18" s="97"/>
      <c r="I18" s="79"/>
      <c r="J18" s="53"/>
      <c r="K18" s="80"/>
      <c r="L18" s="79"/>
      <c r="M18" s="77"/>
      <c r="N18" s="65"/>
      <c r="O18" s="78"/>
      <c r="P18" s="106"/>
      <c r="Q18" s="243"/>
      <c r="R18" s="163"/>
      <c r="S18" s="163"/>
      <c r="T18" s="175"/>
      <c r="U18" s="75"/>
      <c r="V18" s="62"/>
      <c r="W18" s="162"/>
    </row>
    <row r="19" spans="1:23" s="3" customFormat="1" ht="15.75">
      <c r="A19" s="57" t="s">
        <v>5</v>
      </c>
      <c r="B19" s="57" t="s">
        <v>97</v>
      </c>
      <c r="C19" s="121">
        <v>36</v>
      </c>
      <c r="D19" s="59">
        <f aca="true" t="shared" si="0" ref="D19:D27">$A$11*POWER(2,(C19-69)/12)</f>
        <v>65.40639132514966</v>
      </c>
      <c r="E19" s="60">
        <f aca="true" t="shared" si="1" ref="E19:E29">0.5*$B$11/D19</f>
        <v>2.6245141571355024</v>
      </c>
      <c r="F19" s="122">
        <f>$E$54*POWER(2,(69-C19)/$D$11)/$C$11</f>
        <v>0.06951439725271391</v>
      </c>
      <c r="G19" s="122">
        <f>F19/3*4</f>
        <v>0.09268586300361854</v>
      </c>
      <c r="H19" s="260">
        <f>I19+0.14</f>
        <v>0.679905408850114</v>
      </c>
      <c r="I19" s="270">
        <f>($E$11*$E$11*D19*D19*J19*J19*J19)/($F$11*$F$11*1000000)</f>
        <v>0.539905408850114</v>
      </c>
      <c r="J19" s="142">
        <f>F19*1000/2</f>
        <v>34.75719862635695</v>
      </c>
      <c r="K19" s="60">
        <f>0.5*E19-F19</f>
        <v>1.2427426813150373</v>
      </c>
      <c r="L19" s="123">
        <f>K19+$E$5+$E$6</f>
        <v>1.3627426813150374</v>
      </c>
      <c r="M19" s="137">
        <f aca="true" t="shared" si="2" ref="M19:M29">F19+2*$E$7</f>
        <v>0.08951439725271391</v>
      </c>
      <c r="N19" s="61"/>
      <c r="O19" s="121">
        <v>1</v>
      </c>
      <c r="P19" s="107">
        <v>1</v>
      </c>
      <c r="Q19" s="243">
        <f>I19*F19*1000</f>
        <v>37.531199069695745</v>
      </c>
      <c r="R19" s="166">
        <f aca="true" t="shared" si="3" ref="R19:R24">232/Q19</f>
        <v>6.18152379222348</v>
      </c>
      <c r="S19" s="166" t="s">
        <v>162</v>
      </c>
      <c r="T19" s="176">
        <f>2*(M19+G19+0.006)</f>
        <v>0.3764005205126649</v>
      </c>
      <c r="U19" s="176">
        <f aca="true" t="shared" si="4" ref="U19:U30">T19*L19</f>
        <v>0.5129370545718047</v>
      </c>
      <c r="V19" s="62"/>
      <c r="W19" s="162"/>
    </row>
    <row r="20" spans="1:23" s="3" customFormat="1" ht="15.75">
      <c r="A20" s="57" t="s">
        <v>62</v>
      </c>
      <c r="B20" s="57" t="s">
        <v>37</v>
      </c>
      <c r="C20" s="121">
        <v>37</v>
      </c>
      <c r="D20" s="59">
        <f t="shared" si="0"/>
        <v>69.29565774421802</v>
      </c>
      <c r="E20" s="60">
        <f t="shared" si="1"/>
        <v>2.4772114961896468</v>
      </c>
      <c r="F20" s="122">
        <f aca="true" t="shared" si="5" ref="F20:F30">$E$54*POWER(2,(69-C20)/$D$11)/$C$11</f>
        <v>0.0668884100438902</v>
      </c>
      <c r="G20" s="122">
        <f aca="true" t="shared" si="6" ref="G20:G30">F20*4/3</f>
        <v>0.08918454672518694</v>
      </c>
      <c r="H20" s="260">
        <f aca="true" t="shared" si="7" ref="H20:H47">I20+0.14</f>
        <v>0.6799054088501141</v>
      </c>
      <c r="I20" s="270">
        <f aca="true" t="shared" si="8" ref="I20:I30">($E$11*$E$11*D20*D20*J20*J20*J20)/($F$11*$F$11*1000000)</f>
        <v>0.5399054088501141</v>
      </c>
      <c r="J20" s="142">
        <f aca="true" t="shared" si="9" ref="J20:J32">F20*1000/2</f>
        <v>33.4442050219451</v>
      </c>
      <c r="K20" s="60">
        <f aca="true" t="shared" si="10" ref="K20:K30">0.5*E20-F20</f>
        <v>1.1717173380509331</v>
      </c>
      <c r="L20" s="123">
        <f aca="true" t="shared" si="11" ref="L20:L29">K20+$E$5+$E$6</f>
        <v>1.2917173380509333</v>
      </c>
      <c r="M20" s="137">
        <f t="shared" si="2"/>
        <v>0.08688841004389021</v>
      </c>
      <c r="N20" s="61"/>
      <c r="O20" s="121">
        <v>1</v>
      </c>
      <c r="P20" s="107">
        <v>2</v>
      </c>
      <c r="Q20" s="243">
        <f aca="true" t="shared" si="12" ref="Q20:Q30">I20*F20*1000</f>
        <v>36.11341437208062</v>
      </c>
      <c r="R20" s="166">
        <f t="shared" si="3"/>
        <v>6.4242056320035985</v>
      </c>
      <c r="S20" s="167"/>
      <c r="T20" s="176">
        <f aca="true" t="shared" si="13" ref="T20:T30">2*(M20+G20+0.006)</f>
        <v>0.3641459135381543</v>
      </c>
      <c r="U20" s="176">
        <f t="shared" si="4"/>
        <v>0.47037359009762997</v>
      </c>
      <c r="V20" s="62"/>
      <c r="W20" s="162"/>
    </row>
    <row r="21" spans="1:23" s="3" customFormat="1" ht="15.75">
      <c r="A21" s="57" t="s">
        <v>6</v>
      </c>
      <c r="B21" s="57" t="s">
        <v>38</v>
      </c>
      <c r="C21" s="121">
        <v>38</v>
      </c>
      <c r="D21" s="59">
        <f t="shared" si="0"/>
        <v>73.41619197935188</v>
      </c>
      <c r="E21" s="60">
        <f t="shared" si="1"/>
        <v>2.3381762983331926</v>
      </c>
      <c r="F21" s="122">
        <f t="shared" si="5"/>
        <v>0.06436162255618091</v>
      </c>
      <c r="G21" s="122">
        <f t="shared" si="6"/>
        <v>0.08581549674157456</v>
      </c>
      <c r="H21" s="260">
        <f t="shared" si="7"/>
        <v>0.6799054088501143</v>
      </c>
      <c r="I21" s="270">
        <f t="shared" si="8"/>
        <v>0.5399054088501143</v>
      </c>
      <c r="J21" s="142">
        <f t="shared" si="9"/>
        <v>32.18081127809046</v>
      </c>
      <c r="K21" s="60">
        <f t="shared" si="10"/>
        <v>1.1047265266104154</v>
      </c>
      <c r="L21" s="123">
        <f t="shared" si="11"/>
        <v>1.2247265266104155</v>
      </c>
      <c r="M21" s="137">
        <f t="shared" si="2"/>
        <v>0.08436162255618092</v>
      </c>
      <c r="N21" s="61"/>
      <c r="O21" s="121">
        <v>1</v>
      </c>
      <c r="P21" s="107">
        <v>3</v>
      </c>
      <c r="Q21" s="243">
        <f t="shared" si="12"/>
        <v>34.749188140451594</v>
      </c>
      <c r="R21" s="166">
        <f t="shared" si="3"/>
        <v>6.676414972985466</v>
      </c>
      <c r="S21" s="166"/>
      <c r="T21" s="176">
        <f t="shared" si="13"/>
        <v>0.35235423859551096</v>
      </c>
      <c r="U21" s="176">
        <f t="shared" si="4"/>
        <v>0.43153758277153775</v>
      </c>
      <c r="V21" s="62"/>
      <c r="W21" s="162"/>
    </row>
    <row r="22" spans="1:23" s="3" customFormat="1" ht="15.75">
      <c r="A22" s="57" t="s">
        <v>63</v>
      </c>
      <c r="B22" s="57" t="s">
        <v>39</v>
      </c>
      <c r="C22" s="121">
        <v>39</v>
      </c>
      <c r="D22" s="59">
        <f t="shared" si="0"/>
        <v>77.78174593052022</v>
      </c>
      <c r="E22" s="60">
        <f t="shared" si="1"/>
        <v>2.2069445465178683</v>
      </c>
      <c r="F22" s="122">
        <f t="shared" si="5"/>
        <v>0.06193028740474116</v>
      </c>
      <c r="G22" s="122">
        <f t="shared" si="6"/>
        <v>0.08257371653965488</v>
      </c>
      <c r="H22" s="260">
        <f t="shared" si="7"/>
        <v>0.6799054088501142</v>
      </c>
      <c r="I22" s="270">
        <f t="shared" si="8"/>
        <v>0.5399054088501142</v>
      </c>
      <c r="J22" s="142">
        <f t="shared" si="9"/>
        <v>30.96514370237058</v>
      </c>
      <c r="K22" s="60">
        <f t="shared" si="10"/>
        <v>1.041541985854193</v>
      </c>
      <c r="L22" s="123">
        <f t="shared" si="11"/>
        <v>1.161541985854193</v>
      </c>
      <c r="M22" s="137">
        <f t="shared" si="2"/>
        <v>0.08193028740474116</v>
      </c>
      <c r="N22" s="61"/>
      <c r="O22" s="121">
        <v>1</v>
      </c>
      <c r="P22" s="107">
        <v>4</v>
      </c>
      <c r="Q22" s="243">
        <f t="shared" si="12"/>
        <v>33.43649714146185</v>
      </c>
      <c r="R22" s="166">
        <f t="shared" si="3"/>
        <v>6.938525857492287</v>
      </c>
      <c r="S22" s="166"/>
      <c r="T22" s="176">
        <f t="shared" si="13"/>
        <v>0.3410080078887921</v>
      </c>
      <c r="U22" s="176">
        <f t="shared" si="4"/>
        <v>0.3960951186753299</v>
      </c>
      <c r="V22" s="62"/>
      <c r="W22" s="162"/>
    </row>
    <row r="23" spans="1:23" s="3" customFormat="1" ht="15.75">
      <c r="A23" s="57" t="s">
        <v>7</v>
      </c>
      <c r="B23" s="57" t="s">
        <v>40</v>
      </c>
      <c r="C23" s="121">
        <v>40</v>
      </c>
      <c r="D23" s="59">
        <f t="shared" si="0"/>
        <v>82.4068892282175</v>
      </c>
      <c r="E23" s="60">
        <f t="shared" si="1"/>
        <v>2.0830782669711643</v>
      </c>
      <c r="F23" s="122">
        <f t="shared" si="5"/>
        <v>0.05959079876654718</v>
      </c>
      <c r="G23" s="122">
        <f t="shared" si="6"/>
        <v>0.07945439835539624</v>
      </c>
      <c r="H23" s="260">
        <f t="shared" si="7"/>
        <v>0.6799054088501144</v>
      </c>
      <c r="I23" s="270">
        <f t="shared" si="8"/>
        <v>0.5399054088501144</v>
      </c>
      <c r="J23" s="142">
        <f t="shared" si="9"/>
        <v>29.79539938327359</v>
      </c>
      <c r="K23" s="60">
        <f t="shared" si="10"/>
        <v>0.981948334719035</v>
      </c>
      <c r="L23" s="123">
        <f t="shared" si="11"/>
        <v>1.101948334719035</v>
      </c>
      <c r="M23" s="137">
        <f t="shared" si="2"/>
        <v>0.07959079876654718</v>
      </c>
      <c r="N23" s="61"/>
      <c r="O23" s="121">
        <v>1</v>
      </c>
      <c r="P23" s="107">
        <v>5</v>
      </c>
      <c r="Q23" s="243">
        <f t="shared" si="12"/>
        <v>32.17339457175755</v>
      </c>
      <c r="R23" s="166">
        <f t="shared" si="3"/>
        <v>7.210927012459365</v>
      </c>
      <c r="S23" s="166"/>
      <c r="T23" s="176">
        <f t="shared" si="13"/>
        <v>0.33009039424388686</v>
      </c>
      <c r="U23" s="176">
        <f t="shared" si="4"/>
        <v>0.3637425602438009</v>
      </c>
      <c r="V23" s="62"/>
      <c r="W23" s="162"/>
    </row>
    <row r="24" spans="1:23" s="3" customFormat="1" ht="15.75">
      <c r="A24" s="57" t="s">
        <v>8</v>
      </c>
      <c r="B24" s="57" t="s">
        <v>30</v>
      </c>
      <c r="C24" s="121">
        <v>41</v>
      </c>
      <c r="D24" s="59">
        <f t="shared" si="0"/>
        <v>87.30705785825096</v>
      </c>
      <c r="E24" s="60">
        <f t="shared" si="1"/>
        <v>1.9661640674995815</v>
      </c>
      <c r="F24" s="122">
        <f t="shared" si="5"/>
        <v>0.057339687032733934</v>
      </c>
      <c r="G24" s="122">
        <f t="shared" si="6"/>
        <v>0.07645291604364525</v>
      </c>
      <c r="H24" s="260">
        <f t="shared" si="7"/>
        <v>0.6799054088501144</v>
      </c>
      <c r="I24" s="270">
        <f t="shared" si="8"/>
        <v>0.5399054088501144</v>
      </c>
      <c r="J24" s="142">
        <f t="shared" si="9"/>
        <v>28.669843516366967</v>
      </c>
      <c r="K24" s="60">
        <f t="shared" si="10"/>
        <v>0.9257423467170568</v>
      </c>
      <c r="L24" s="123">
        <f t="shared" si="11"/>
        <v>1.0457423467170568</v>
      </c>
      <c r="M24" s="137">
        <f t="shared" si="2"/>
        <v>0.07733968703273393</v>
      </c>
      <c r="N24" s="61"/>
      <c r="O24" s="121">
        <v>1</v>
      </c>
      <c r="P24" s="107">
        <v>6</v>
      </c>
      <c r="Q24" s="243">
        <f t="shared" si="12"/>
        <v>30.958007170745816</v>
      </c>
      <c r="R24" s="166">
        <f t="shared" si="3"/>
        <v>7.4940224259406305</v>
      </c>
      <c r="S24" s="166"/>
      <c r="T24" s="176">
        <f t="shared" si="13"/>
        <v>0.31958520615275837</v>
      </c>
      <c r="U24" s="176">
        <f t="shared" si="4"/>
        <v>0.3342037834582399</v>
      </c>
      <c r="V24" s="62"/>
      <c r="W24" s="162"/>
    </row>
    <row r="25" spans="1:23" s="3" customFormat="1" ht="15.75">
      <c r="A25" s="57" t="s">
        <v>64</v>
      </c>
      <c r="B25" s="57" t="s">
        <v>31</v>
      </c>
      <c r="C25" s="121">
        <v>42</v>
      </c>
      <c r="D25" s="59">
        <f t="shared" si="0"/>
        <v>92.49860567790861</v>
      </c>
      <c r="E25" s="60">
        <f t="shared" si="1"/>
        <v>1.8558117578306097</v>
      </c>
      <c r="F25" s="122">
        <f t="shared" si="5"/>
        <v>0.055173613662946694</v>
      </c>
      <c r="G25" s="122">
        <f t="shared" si="6"/>
        <v>0.07356481821726225</v>
      </c>
      <c r="H25" s="260">
        <f t="shared" si="7"/>
        <v>0.6799054088501143</v>
      </c>
      <c r="I25" s="270">
        <f t="shared" si="8"/>
        <v>0.5399054088501143</v>
      </c>
      <c r="J25" s="142">
        <f t="shared" si="9"/>
        <v>27.586806831473346</v>
      </c>
      <c r="K25" s="60">
        <f t="shared" si="10"/>
        <v>0.8727322652523581</v>
      </c>
      <c r="L25" s="123">
        <f t="shared" si="11"/>
        <v>0.9927322652523581</v>
      </c>
      <c r="M25" s="137">
        <f t="shared" si="2"/>
        <v>0.0751736136629467</v>
      </c>
      <c r="N25" s="61"/>
      <c r="O25" s="121">
        <v>1</v>
      </c>
      <c r="P25" s="107">
        <v>7</v>
      </c>
      <c r="Q25" s="243">
        <f t="shared" si="12"/>
        <v>29.788532442431485</v>
      </c>
      <c r="R25" s="225">
        <f aca="true" t="shared" si="14" ref="R25:R30">181/Q25</f>
        <v>6.0761637166851274</v>
      </c>
      <c r="S25" s="265" t="s">
        <v>161</v>
      </c>
      <c r="T25" s="176">
        <f t="shared" si="13"/>
        <v>0.30947686376041794</v>
      </c>
      <c r="U25" s="176">
        <f t="shared" si="4"/>
        <v>0.30722766800407514</v>
      </c>
      <c r="V25" s="62"/>
      <c r="W25" s="162"/>
    </row>
    <row r="26" spans="1:23" s="3" customFormat="1" ht="15.75">
      <c r="A26" s="57" t="s">
        <v>9</v>
      </c>
      <c r="B26" s="57" t="s">
        <v>32</v>
      </c>
      <c r="C26" s="121">
        <v>43</v>
      </c>
      <c r="D26" s="59">
        <f t="shared" si="0"/>
        <v>97.99885899543735</v>
      </c>
      <c r="E26" s="60">
        <f t="shared" si="1"/>
        <v>1.751653047388972</v>
      </c>
      <c r="F26" s="122">
        <f t="shared" si="5"/>
        <v>0.0530893662340758</v>
      </c>
      <c r="G26" s="122">
        <f t="shared" si="6"/>
        <v>0.0707858216454344</v>
      </c>
      <c r="H26" s="260">
        <f t="shared" si="7"/>
        <v>0.6799054088501144</v>
      </c>
      <c r="I26" s="270">
        <f t="shared" si="8"/>
        <v>0.5399054088501144</v>
      </c>
      <c r="J26" s="142">
        <f t="shared" si="9"/>
        <v>26.5446831170379</v>
      </c>
      <c r="K26" s="60">
        <f t="shared" si="10"/>
        <v>0.8227371574604102</v>
      </c>
      <c r="L26" s="123">
        <f t="shared" si="11"/>
        <v>0.9427371574604102</v>
      </c>
      <c r="M26" s="137">
        <f t="shared" si="2"/>
        <v>0.0730893662340758</v>
      </c>
      <c r="N26" s="61"/>
      <c r="O26" s="121">
        <v>1</v>
      </c>
      <c r="P26" s="107">
        <v>8</v>
      </c>
      <c r="Q26" s="243">
        <f t="shared" si="12"/>
        <v>28.663235982202153</v>
      </c>
      <c r="R26" s="225">
        <f t="shared" si="14"/>
        <v>6.314709201444953</v>
      </c>
      <c r="S26" s="234"/>
      <c r="T26" s="176">
        <f t="shared" si="13"/>
        <v>0.2997503757590204</v>
      </c>
      <c r="U26" s="176">
        <f t="shared" si="4"/>
        <v>0.28258581719074877</v>
      </c>
      <c r="V26" s="62"/>
      <c r="W26" s="162"/>
    </row>
    <row r="27" spans="1:23" s="3" customFormat="1" ht="15.75">
      <c r="A27" s="57" t="s">
        <v>65</v>
      </c>
      <c r="B27" s="57" t="s">
        <v>33</v>
      </c>
      <c r="C27" s="121">
        <v>44</v>
      </c>
      <c r="D27" s="59">
        <f t="shared" si="0"/>
        <v>103.82617439498628</v>
      </c>
      <c r="E27" s="60">
        <f t="shared" si="1"/>
        <v>1.6533403161610603</v>
      </c>
      <c r="F27" s="122">
        <f t="shared" si="5"/>
        <v>0.05108385367603089</v>
      </c>
      <c r="G27" s="122">
        <f t="shared" si="6"/>
        <v>0.06811180490137451</v>
      </c>
      <c r="H27" s="260">
        <f t="shared" si="7"/>
        <v>0.6799054088501143</v>
      </c>
      <c r="I27" s="270">
        <f t="shared" si="8"/>
        <v>0.5399054088501143</v>
      </c>
      <c r="J27" s="142">
        <f t="shared" si="9"/>
        <v>25.541926838015446</v>
      </c>
      <c r="K27" s="60">
        <f t="shared" si="10"/>
        <v>0.7755863044044993</v>
      </c>
      <c r="L27" s="123">
        <f t="shared" si="11"/>
        <v>0.8955863044044993</v>
      </c>
      <c r="M27" s="137">
        <f t="shared" si="2"/>
        <v>0.07108385367603089</v>
      </c>
      <c r="N27" s="61"/>
      <c r="O27" s="121">
        <v>1</v>
      </c>
      <c r="P27" s="107">
        <v>9</v>
      </c>
      <c r="Q27" s="243">
        <f t="shared" si="12"/>
        <v>27.58044890459687</v>
      </c>
      <c r="R27" s="225">
        <f t="shared" si="14"/>
        <v>6.562619797309843</v>
      </c>
      <c r="S27" s="234"/>
      <c r="T27" s="176">
        <f t="shared" si="13"/>
        <v>0.2903913171548108</v>
      </c>
      <c r="U27" s="176">
        <f t="shared" si="4"/>
        <v>0.2600704865618319</v>
      </c>
      <c r="V27" s="62"/>
      <c r="W27" s="162"/>
    </row>
    <row r="28" spans="1:23" s="3" customFormat="1" ht="15.75">
      <c r="A28" s="57" t="s">
        <v>10</v>
      </c>
      <c r="B28" s="57" t="s">
        <v>34</v>
      </c>
      <c r="C28" s="121">
        <v>45</v>
      </c>
      <c r="D28" s="59">
        <f aca="true" t="shared" si="15" ref="D28:D36">$A$11*POWER(2,(C28-69)/12)</f>
        <v>110</v>
      </c>
      <c r="E28" s="60">
        <f t="shared" si="1"/>
        <v>1.5605454545454545</v>
      </c>
      <c r="F28" s="122">
        <f t="shared" si="5"/>
        <v>0.04915410168748952</v>
      </c>
      <c r="G28" s="122">
        <f t="shared" si="6"/>
        <v>0.06553880224998603</v>
      </c>
      <c r="H28" s="260">
        <f t="shared" si="7"/>
        <v>0.6799054088501143</v>
      </c>
      <c r="I28" s="270">
        <f t="shared" si="8"/>
        <v>0.5399054088501143</v>
      </c>
      <c r="J28" s="142">
        <f t="shared" si="9"/>
        <v>24.57705084374476</v>
      </c>
      <c r="K28" s="60">
        <f t="shared" si="10"/>
        <v>0.7311186255852377</v>
      </c>
      <c r="L28" s="123">
        <f t="shared" si="11"/>
        <v>0.8511186255852377</v>
      </c>
      <c r="M28" s="137">
        <f t="shared" si="2"/>
        <v>0.06915410168748952</v>
      </c>
      <c r="N28" s="61"/>
      <c r="O28" s="121">
        <v>1</v>
      </c>
      <c r="P28" s="107">
        <v>10</v>
      </c>
      <c r="Q28" s="243">
        <f t="shared" si="12"/>
        <v>26.53856536824412</v>
      </c>
      <c r="R28" s="225">
        <f t="shared" si="14"/>
        <v>6.820263171293481</v>
      </c>
      <c r="S28" s="234"/>
      <c r="T28" s="176">
        <f t="shared" si="13"/>
        <v>0.2813858078749511</v>
      </c>
      <c r="U28" s="176">
        <f t="shared" si="4"/>
        <v>0.2394927020577201</v>
      </c>
      <c r="V28" s="62"/>
      <c r="W28" s="162"/>
    </row>
    <row r="29" spans="1:23" s="3" customFormat="1" ht="15.75">
      <c r="A29" s="57" t="s">
        <v>66</v>
      </c>
      <c r="B29" s="57" t="s">
        <v>35</v>
      </c>
      <c r="C29" s="121">
        <v>46</v>
      </c>
      <c r="D29" s="59">
        <f t="shared" si="15"/>
        <v>116.54094037952248</v>
      </c>
      <c r="E29" s="60">
        <f t="shared" si="1"/>
        <v>1.4729587683176317</v>
      </c>
      <c r="F29" s="122">
        <f t="shared" si="5"/>
        <v>0.04729724832482114</v>
      </c>
      <c r="G29" s="122">
        <f t="shared" si="6"/>
        <v>0.0630629977664282</v>
      </c>
      <c r="H29" s="260">
        <f t="shared" si="7"/>
        <v>0.6799054088501142</v>
      </c>
      <c r="I29" s="270">
        <f t="shared" si="8"/>
        <v>0.5399054088501142</v>
      </c>
      <c r="J29" s="142">
        <f t="shared" si="9"/>
        <v>23.64862416241057</v>
      </c>
      <c r="K29" s="60">
        <f t="shared" si="10"/>
        <v>0.6891821358339947</v>
      </c>
      <c r="L29" s="123">
        <f t="shared" si="11"/>
        <v>0.8091821358339947</v>
      </c>
      <c r="M29" s="137">
        <f t="shared" si="2"/>
        <v>0.06729724832482115</v>
      </c>
      <c r="N29" s="61"/>
      <c r="O29" s="121">
        <v>1</v>
      </c>
      <c r="P29" s="107">
        <v>11</v>
      </c>
      <c r="Q29" s="243">
        <f t="shared" si="12"/>
        <v>25.53604019429794</v>
      </c>
      <c r="R29" s="225">
        <f t="shared" si="14"/>
        <v>7.0880214247319495</v>
      </c>
      <c r="S29" s="234"/>
      <c r="T29" s="176">
        <f t="shared" si="13"/>
        <v>0.2727204921824987</v>
      </c>
      <c r="U29" s="176">
        <f t="shared" si="4"/>
        <v>0.22068055034993256</v>
      </c>
      <c r="V29" s="62"/>
      <c r="W29" s="162"/>
    </row>
    <row r="30" spans="1:23" ht="15.75">
      <c r="A30" s="57" t="s">
        <v>4</v>
      </c>
      <c r="B30" s="57" t="s">
        <v>36</v>
      </c>
      <c r="C30" s="58">
        <v>47</v>
      </c>
      <c r="D30" s="59">
        <f t="shared" si="15"/>
        <v>123.47082531403106</v>
      </c>
      <c r="E30" s="60">
        <f aca="true" t="shared" si="16" ref="E30:E36">0.5*$B$11/D30</f>
        <v>1.3902879450542782</v>
      </c>
      <c r="F30" s="122">
        <f t="shared" si="5"/>
        <v>0.04551053975764459</v>
      </c>
      <c r="G30" s="122">
        <f t="shared" si="6"/>
        <v>0.06068071967685945</v>
      </c>
      <c r="H30" s="260">
        <f t="shared" si="7"/>
        <v>0.679905408850115</v>
      </c>
      <c r="I30" s="270">
        <f t="shared" si="8"/>
        <v>0.539905408850115</v>
      </c>
      <c r="J30" s="142">
        <f t="shared" si="9"/>
        <v>22.755269878822293</v>
      </c>
      <c r="K30" s="60">
        <f t="shared" si="10"/>
        <v>0.6496334327694945</v>
      </c>
      <c r="L30" s="123">
        <f>K30+$E$5+$E$6</f>
        <v>0.7696334327694945</v>
      </c>
      <c r="M30" s="137">
        <f>F30+2*$E$7</f>
        <v>0.06551053975764459</v>
      </c>
      <c r="N30" s="61"/>
      <c r="O30" s="121">
        <v>1</v>
      </c>
      <c r="P30" s="107">
        <v>12</v>
      </c>
      <c r="Q30" s="243">
        <f t="shared" si="12"/>
        <v>24.571386574840513</v>
      </c>
      <c r="R30" s="225">
        <f t="shared" si="14"/>
        <v>7.366291659964038</v>
      </c>
      <c r="S30" s="234"/>
      <c r="T30" s="176">
        <f t="shared" si="13"/>
        <v>0.2643825188690081</v>
      </c>
      <c r="U30" s="176">
        <f t="shared" si="4"/>
        <v>0.20347762556140034</v>
      </c>
      <c r="V30" s="62"/>
      <c r="W30" s="162"/>
    </row>
    <row r="31" spans="1:22" ht="15.75">
      <c r="A31" s="55"/>
      <c r="B31" s="55"/>
      <c r="C31" s="56"/>
      <c r="D31" s="63"/>
      <c r="E31" s="64"/>
      <c r="F31" s="96"/>
      <c r="G31" s="154"/>
      <c r="H31" s="261"/>
      <c r="I31" s="261"/>
      <c r="J31" s="143"/>
      <c r="K31" s="64"/>
      <c r="L31" s="64"/>
      <c r="M31" s="138">
        <f>SUM(M19:M30)</f>
        <v>0.9209339263998157</v>
      </c>
      <c r="N31" s="120">
        <f>M31+(11*0.004)</f>
        <v>0.9649339263998158</v>
      </c>
      <c r="O31" s="56"/>
      <c r="P31" s="106"/>
      <c r="Q31" s="245">
        <f>SUM(Q19:Q30)</f>
        <v>367.63990993280623</v>
      </c>
      <c r="R31" s="241"/>
      <c r="S31" s="165"/>
      <c r="T31" s="75" t="s">
        <v>93</v>
      </c>
      <c r="U31" s="75">
        <f>SUM(U19:U30)</f>
        <v>4.022424539544052</v>
      </c>
      <c r="V31" s="62"/>
    </row>
    <row r="32" spans="1:23" ht="15.75">
      <c r="A32" s="109" t="s">
        <v>5</v>
      </c>
      <c r="B32" s="109" t="s">
        <v>98</v>
      </c>
      <c r="C32" s="110">
        <v>48</v>
      </c>
      <c r="D32" s="111">
        <f t="shared" si="15"/>
        <v>130.8127826502993</v>
      </c>
      <c r="E32" s="67">
        <f t="shared" si="16"/>
        <v>1.3122570785677512</v>
      </c>
      <c r="F32" s="133">
        <f aca="true" t="shared" si="17" ref="F32:F74">$E$54*POWER(2,(69-C32)/$D$11)/$C$11</f>
        <v>0.04379132618472431</v>
      </c>
      <c r="G32" s="184">
        <f aca="true" t="shared" si="18" ref="G32:G47">F32*4/3</f>
        <v>0.05838843491296575</v>
      </c>
      <c r="H32" s="262">
        <f t="shared" si="7"/>
        <v>0.6799054088501145</v>
      </c>
      <c r="I32" s="271">
        <f>($E$11*$E$11*D32*D32*J32*J32*J32)/($F$11*$F$11*1000000)</f>
        <v>0.5399054088501145</v>
      </c>
      <c r="J32" s="144">
        <f t="shared" si="9"/>
        <v>21.895663092362156</v>
      </c>
      <c r="K32" s="67">
        <f aca="true" t="shared" si="19" ref="K32:K74">0.5*E32-F32</f>
        <v>0.6123372130991513</v>
      </c>
      <c r="L32" s="135">
        <f aca="true" t="shared" si="20" ref="L32:L52">K32+$C$5+$C$6</f>
        <v>0.7123372130991514</v>
      </c>
      <c r="M32" s="139">
        <f aca="true" t="shared" si="21" ref="M32:M47">F32+2*$C$7</f>
        <v>0.05579132618472431</v>
      </c>
      <c r="N32" s="112">
        <f>O32*M32+N30</f>
        <v>0.05579132618472431</v>
      </c>
      <c r="O32" s="110">
        <v>1</v>
      </c>
      <c r="P32" s="113">
        <v>1</v>
      </c>
      <c r="Q32" s="243">
        <f aca="true" t="shared" si="22" ref="Q32:Q47">I32*F32*1000</f>
        <v>23.643173867852305</v>
      </c>
      <c r="R32" s="168">
        <f>117/Q32</f>
        <v>4.948574191178506</v>
      </c>
      <c r="S32" s="235" t="s">
        <v>158</v>
      </c>
      <c r="T32" s="176">
        <f aca="true" t="shared" si="23" ref="T32:T47">2*(M32+G32+0.006)</f>
        <v>0.24035952219538012</v>
      </c>
      <c r="U32" s="176">
        <f aca="true" t="shared" si="24" ref="U32:U47">T32*L32</f>
        <v>0.1712170321825007</v>
      </c>
      <c r="V32" s="62"/>
      <c r="W32" s="162"/>
    </row>
    <row r="33" spans="1:23" ht="15.75">
      <c r="A33" s="109" t="s">
        <v>62</v>
      </c>
      <c r="B33" s="109" t="s">
        <v>37</v>
      </c>
      <c r="C33" s="110">
        <v>49</v>
      </c>
      <c r="D33" s="111">
        <f t="shared" si="15"/>
        <v>138.59131548843604</v>
      </c>
      <c r="E33" s="67">
        <f t="shared" si="16"/>
        <v>1.2386057480948234</v>
      </c>
      <c r="F33" s="133">
        <f t="shared" si="17"/>
        <v>0.04213705790414847</v>
      </c>
      <c r="G33" s="184">
        <f t="shared" si="18"/>
        <v>0.05618274387219796</v>
      </c>
      <c r="H33" s="262">
        <f t="shared" si="7"/>
        <v>0.6799054088501144</v>
      </c>
      <c r="I33" s="271">
        <f aca="true" t="shared" si="25" ref="I33:I47">($E$11*$E$11*D33*D33*J33*J33*J33)/($F$11*$F$11*1000000)</f>
        <v>0.5399054088501144</v>
      </c>
      <c r="J33" s="144">
        <f aca="true" t="shared" si="26" ref="J33:J47">F33*1000/2</f>
        <v>21.068528952074235</v>
      </c>
      <c r="K33" s="67">
        <f t="shared" si="19"/>
        <v>0.5771658161432632</v>
      </c>
      <c r="L33" s="135">
        <f t="shared" si="20"/>
        <v>0.6771658161432632</v>
      </c>
      <c r="M33" s="139">
        <f t="shared" si="21"/>
        <v>0.05413705790414847</v>
      </c>
      <c r="N33" s="112">
        <f aca="true" t="shared" si="27" ref="N33:N47">O33*M33+N32</f>
        <v>0.10992838408887277</v>
      </c>
      <c r="O33" s="110">
        <v>1</v>
      </c>
      <c r="P33" s="113">
        <v>2</v>
      </c>
      <c r="Q33" s="243">
        <f t="shared" si="22"/>
        <v>22.750025475480225</v>
      </c>
      <c r="R33" s="168">
        <f aca="true" t="shared" si="28" ref="R33:R39">117/Q33</f>
        <v>5.142851383885331</v>
      </c>
      <c r="S33" s="236"/>
      <c r="T33" s="176">
        <f t="shared" si="23"/>
        <v>0.23263960355269286</v>
      </c>
      <c r="U33" s="176">
        <f t="shared" si="24"/>
        <v>0.15753558700700446</v>
      </c>
      <c r="V33" s="62"/>
      <c r="W33" s="162"/>
    </row>
    <row r="34" spans="1:23" ht="15.75">
      <c r="A34" s="109" t="s">
        <v>6</v>
      </c>
      <c r="B34" s="109" t="s">
        <v>38</v>
      </c>
      <c r="C34" s="110">
        <v>50</v>
      </c>
      <c r="D34" s="111">
        <f t="shared" si="15"/>
        <v>146.83238395870382</v>
      </c>
      <c r="E34" s="67">
        <f t="shared" si="16"/>
        <v>1.1690881491665959</v>
      </c>
      <c r="F34" s="133">
        <f t="shared" si="17"/>
        <v>0.040545281531960506</v>
      </c>
      <c r="G34" s="184">
        <f t="shared" si="18"/>
        <v>0.054060375375947343</v>
      </c>
      <c r="H34" s="262">
        <f t="shared" si="7"/>
        <v>0.6799054088501146</v>
      </c>
      <c r="I34" s="271">
        <f t="shared" si="25"/>
        <v>0.5399054088501146</v>
      </c>
      <c r="J34" s="144">
        <f t="shared" si="26"/>
        <v>20.272640765980253</v>
      </c>
      <c r="K34" s="67">
        <f t="shared" si="19"/>
        <v>0.5439987930513375</v>
      </c>
      <c r="L34" s="135">
        <f t="shared" si="20"/>
        <v>0.6439987930513376</v>
      </c>
      <c r="M34" s="139">
        <f t="shared" si="21"/>
        <v>0.0525452815319605</v>
      </c>
      <c r="N34" s="112">
        <f t="shared" si="27"/>
        <v>0.16247366562083326</v>
      </c>
      <c r="O34" s="110">
        <v>1</v>
      </c>
      <c r="P34" s="113">
        <v>3</v>
      </c>
      <c r="Q34" s="243">
        <f t="shared" si="22"/>
        <v>21.890616802456137</v>
      </c>
      <c r="R34" s="168">
        <f t="shared" si="28"/>
        <v>5.344755748813462</v>
      </c>
      <c r="S34" s="169"/>
      <c r="T34" s="176">
        <f t="shared" si="23"/>
        <v>0.22521131381581572</v>
      </c>
      <c r="U34" s="176">
        <f t="shared" si="24"/>
        <v>0.14503581427889134</v>
      </c>
      <c r="V34" s="62"/>
      <c r="W34" s="162"/>
    </row>
    <row r="35" spans="1:23" ht="15.75">
      <c r="A35" s="109" t="s">
        <v>63</v>
      </c>
      <c r="B35" s="109" t="s">
        <v>39</v>
      </c>
      <c r="C35" s="110">
        <v>51</v>
      </c>
      <c r="D35" s="111">
        <f t="shared" si="15"/>
        <v>155.56349186104046</v>
      </c>
      <c r="E35" s="67">
        <f t="shared" si="16"/>
        <v>1.103472273258934</v>
      </c>
      <c r="F35" s="133">
        <f t="shared" si="17"/>
        <v>0.03901363636363636</v>
      </c>
      <c r="G35" s="184">
        <f t="shared" si="18"/>
        <v>0.05201818181818182</v>
      </c>
      <c r="H35" s="262">
        <f t="shared" si="7"/>
        <v>0.6799054088501143</v>
      </c>
      <c r="I35" s="271">
        <f t="shared" si="25"/>
        <v>0.5399054088501143</v>
      </c>
      <c r="J35" s="144">
        <f t="shared" si="26"/>
        <v>19.50681818181818</v>
      </c>
      <c r="K35" s="67">
        <f t="shared" si="19"/>
        <v>0.5127225002658307</v>
      </c>
      <c r="L35" s="135">
        <f t="shared" si="20"/>
        <v>0.6127225002658307</v>
      </c>
      <c r="M35" s="139">
        <f t="shared" si="21"/>
        <v>0.05101363636363636</v>
      </c>
      <c r="N35" s="112">
        <f t="shared" si="27"/>
        <v>0.21348730198446964</v>
      </c>
      <c r="O35" s="110">
        <v>1</v>
      </c>
      <c r="P35" s="113">
        <v>4</v>
      </c>
      <c r="Q35" s="243">
        <f t="shared" si="22"/>
        <v>21.06367329163878</v>
      </c>
      <c r="R35" s="168">
        <f t="shared" si="28"/>
        <v>5.554586722841126</v>
      </c>
      <c r="S35" s="169"/>
      <c r="T35" s="176">
        <f t="shared" si="23"/>
        <v>0.21806363636363635</v>
      </c>
      <c r="U35" s="176">
        <f t="shared" si="24"/>
        <v>0.13361249648978618</v>
      </c>
      <c r="V35" s="62"/>
      <c r="W35" s="162"/>
    </row>
    <row r="36" spans="1:23" ht="15.75">
      <c r="A36" s="109" t="s">
        <v>7</v>
      </c>
      <c r="B36" s="109" t="s">
        <v>40</v>
      </c>
      <c r="C36" s="110">
        <v>52</v>
      </c>
      <c r="D36" s="111">
        <f t="shared" si="15"/>
        <v>164.81377845643496</v>
      </c>
      <c r="E36" s="67">
        <f t="shared" si="16"/>
        <v>1.0415391334855824</v>
      </c>
      <c r="F36" s="133">
        <f t="shared" si="17"/>
        <v>0.03753985087301113</v>
      </c>
      <c r="G36" s="184">
        <f t="shared" si="18"/>
        <v>0.05005313449734817</v>
      </c>
      <c r="H36" s="262">
        <f t="shared" si="7"/>
        <v>0.6799054088501145</v>
      </c>
      <c r="I36" s="271">
        <f t="shared" si="25"/>
        <v>0.5399054088501145</v>
      </c>
      <c r="J36" s="144">
        <f t="shared" si="26"/>
        <v>18.769925436505563</v>
      </c>
      <c r="K36" s="67">
        <f t="shared" si="19"/>
        <v>0.48322971586978003</v>
      </c>
      <c r="L36" s="135">
        <f t="shared" si="20"/>
        <v>0.5832297158697801</v>
      </c>
      <c r="M36" s="139">
        <f t="shared" si="21"/>
        <v>0.04953985087301113</v>
      </c>
      <c r="N36" s="112">
        <f t="shared" si="27"/>
        <v>0.2630271528574808</v>
      </c>
      <c r="O36" s="110">
        <v>1</v>
      </c>
      <c r="P36" s="113">
        <v>5</v>
      </c>
      <c r="Q36" s="243">
        <f t="shared" si="22"/>
        <v>20.2679685337654</v>
      </c>
      <c r="R36" s="168">
        <f t="shared" si="28"/>
        <v>5.77265549850662</v>
      </c>
      <c r="S36" s="169"/>
      <c r="T36" s="176">
        <f t="shared" si="23"/>
        <v>0.2111859707407186</v>
      </c>
      <c r="U36" s="176">
        <f t="shared" si="24"/>
        <v>0.123169933710793</v>
      </c>
      <c r="V36" s="62"/>
      <c r="W36" s="162"/>
    </row>
    <row r="37" spans="1:23" ht="15.75">
      <c r="A37" s="109" t="s">
        <v>8</v>
      </c>
      <c r="B37" s="109" t="s">
        <v>30</v>
      </c>
      <c r="C37" s="110">
        <v>53</v>
      </c>
      <c r="D37" s="111">
        <f aca="true" t="shared" si="29" ref="D37:D53">$A$11*POWER(2,(C37-69)/12)</f>
        <v>174.61411571650197</v>
      </c>
      <c r="E37" s="67">
        <f aca="true" t="shared" si="30" ref="E37:E53">0.5*$B$11/D37</f>
        <v>0.9830820337497904</v>
      </c>
      <c r="F37" s="133">
        <f t="shared" si="17"/>
        <v>0.036121739343462786</v>
      </c>
      <c r="G37" s="184">
        <f t="shared" si="18"/>
        <v>0.04816231912461705</v>
      </c>
      <c r="H37" s="262">
        <f t="shared" si="7"/>
        <v>0.6799054088501144</v>
      </c>
      <c r="I37" s="271">
        <f t="shared" si="25"/>
        <v>0.5399054088501144</v>
      </c>
      <c r="J37" s="144">
        <f t="shared" si="26"/>
        <v>18.060869671731393</v>
      </c>
      <c r="K37" s="67">
        <f t="shared" si="19"/>
        <v>0.4554192775314324</v>
      </c>
      <c r="L37" s="135">
        <f t="shared" si="20"/>
        <v>0.5554192775314324</v>
      </c>
      <c r="M37" s="139">
        <f t="shared" si="21"/>
        <v>0.04812173934346278</v>
      </c>
      <c r="N37" s="112">
        <f t="shared" si="27"/>
        <v>0.31114889220094355</v>
      </c>
      <c r="O37" s="110">
        <v>1</v>
      </c>
      <c r="P37" s="113">
        <v>6</v>
      </c>
      <c r="Q37" s="243">
        <f t="shared" si="22"/>
        <v>19.502322448609537</v>
      </c>
      <c r="R37" s="168">
        <f t="shared" si="28"/>
        <v>5.999285485526458</v>
      </c>
      <c r="S37" s="169"/>
      <c r="T37" s="176">
        <f t="shared" si="23"/>
        <v>0.20456811693615967</v>
      </c>
      <c r="U37" s="176">
        <f t="shared" si="24"/>
        <v>0.11362107571464738</v>
      </c>
      <c r="V37" s="62"/>
      <c r="W37" s="162"/>
    </row>
    <row r="38" spans="1:23" ht="15.75">
      <c r="A38" s="109" t="s">
        <v>64</v>
      </c>
      <c r="B38" s="109" t="s">
        <v>31</v>
      </c>
      <c r="C38" s="110">
        <v>54</v>
      </c>
      <c r="D38" s="111">
        <f t="shared" si="29"/>
        <v>184.99721135581723</v>
      </c>
      <c r="E38" s="67">
        <f t="shared" si="30"/>
        <v>0.9279058789153048</v>
      </c>
      <c r="F38" s="133">
        <f t="shared" si="17"/>
        <v>0.03475719862635696</v>
      </c>
      <c r="G38" s="184">
        <f t="shared" si="18"/>
        <v>0.046342931501809285</v>
      </c>
      <c r="H38" s="262">
        <f t="shared" si="7"/>
        <v>0.6799054088501144</v>
      </c>
      <c r="I38" s="271">
        <f t="shared" si="25"/>
        <v>0.5399054088501144</v>
      </c>
      <c r="J38" s="144">
        <f t="shared" si="26"/>
        <v>17.37859931317848</v>
      </c>
      <c r="K38" s="67">
        <f t="shared" si="19"/>
        <v>0.42919574083129547</v>
      </c>
      <c r="L38" s="135">
        <f t="shared" si="20"/>
        <v>0.5291957408312955</v>
      </c>
      <c r="M38" s="139">
        <f t="shared" si="21"/>
        <v>0.046757198626356966</v>
      </c>
      <c r="N38" s="112">
        <f t="shared" si="27"/>
        <v>0.3579060908273005</v>
      </c>
      <c r="O38" s="110">
        <v>1</v>
      </c>
      <c r="P38" s="113">
        <v>7</v>
      </c>
      <c r="Q38" s="243">
        <f t="shared" si="22"/>
        <v>18.76559953484789</v>
      </c>
      <c r="R38" s="168">
        <f t="shared" si="28"/>
        <v>6.234812790432297</v>
      </c>
      <c r="S38" s="169"/>
      <c r="T38" s="176">
        <f t="shared" si="23"/>
        <v>0.19820026025633253</v>
      </c>
      <c r="U38" s="176">
        <f t="shared" si="24"/>
        <v>0.10488673355930547</v>
      </c>
      <c r="V38" s="62"/>
      <c r="W38" s="162"/>
    </row>
    <row r="39" spans="1:23" ht="15.75">
      <c r="A39" s="109" t="s">
        <v>9</v>
      </c>
      <c r="B39" s="109" t="s">
        <v>32</v>
      </c>
      <c r="C39" s="110">
        <v>55</v>
      </c>
      <c r="D39" s="111">
        <f t="shared" si="29"/>
        <v>195.99771799087463</v>
      </c>
      <c r="E39" s="67">
        <f t="shared" si="30"/>
        <v>0.8758265236944862</v>
      </c>
      <c r="F39" s="133">
        <f t="shared" si="17"/>
        <v>0.0334442050219451</v>
      </c>
      <c r="G39" s="184">
        <f t="shared" si="18"/>
        <v>0.04459227336259347</v>
      </c>
      <c r="H39" s="262">
        <f t="shared" si="7"/>
        <v>0.6799054088501141</v>
      </c>
      <c r="I39" s="271">
        <f t="shared" si="25"/>
        <v>0.5399054088501141</v>
      </c>
      <c r="J39" s="144">
        <f t="shared" si="26"/>
        <v>16.72210251097255</v>
      </c>
      <c r="K39" s="67">
        <f t="shared" si="19"/>
        <v>0.404469056825298</v>
      </c>
      <c r="L39" s="135">
        <f t="shared" si="20"/>
        <v>0.504469056825298</v>
      </c>
      <c r="M39" s="139">
        <f t="shared" si="21"/>
        <v>0.0454442050219451</v>
      </c>
      <c r="N39" s="112">
        <f t="shared" si="27"/>
        <v>0.40335029584924564</v>
      </c>
      <c r="O39" s="110">
        <v>1</v>
      </c>
      <c r="P39" s="113">
        <v>8</v>
      </c>
      <c r="Q39" s="243">
        <f t="shared" si="22"/>
        <v>18.05670718604031</v>
      </c>
      <c r="R39" s="168">
        <f t="shared" si="28"/>
        <v>6.479586715038112</v>
      </c>
      <c r="S39" s="169"/>
      <c r="T39" s="176">
        <f t="shared" si="23"/>
        <v>0.19207295676907715</v>
      </c>
      <c r="U39" s="176">
        <f t="shared" si="24"/>
        <v>0.09689486334294259</v>
      </c>
      <c r="V39" s="62"/>
      <c r="W39" s="162"/>
    </row>
    <row r="40" spans="1:23" ht="15.75">
      <c r="A40" s="109" t="s">
        <v>65</v>
      </c>
      <c r="B40" s="109" t="s">
        <v>33</v>
      </c>
      <c r="C40" s="110">
        <v>56</v>
      </c>
      <c r="D40" s="111">
        <f t="shared" si="29"/>
        <v>207.6523487899726</v>
      </c>
      <c r="E40" s="67">
        <f t="shared" si="30"/>
        <v>0.82667015808053</v>
      </c>
      <c r="F40" s="133">
        <f t="shared" si="17"/>
        <v>0.03218081127809046</v>
      </c>
      <c r="G40" s="184">
        <f t="shared" si="18"/>
        <v>0.04290774837078728</v>
      </c>
      <c r="H40" s="262">
        <f t="shared" si="7"/>
        <v>0.6799054088501146</v>
      </c>
      <c r="I40" s="271">
        <f t="shared" si="25"/>
        <v>0.5399054088501146</v>
      </c>
      <c r="J40" s="144">
        <f t="shared" si="26"/>
        <v>16.09040563904523</v>
      </c>
      <c r="K40" s="67">
        <f t="shared" si="19"/>
        <v>0.38115426776217454</v>
      </c>
      <c r="L40" s="135">
        <f t="shared" si="20"/>
        <v>0.4811542677621745</v>
      </c>
      <c r="M40" s="139">
        <f t="shared" si="21"/>
        <v>0.044180811278090454</v>
      </c>
      <c r="N40" s="112">
        <f t="shared" si="27"/>
        <v>0.4475311071273361</v>
      </c>
      <c r="O40" s="110">
        <v>1</v>
      </c>
      <c r="P40" s="113">
        <v>9</v>
      </c>
      <c r="Q40" s="243">
        <f t="shared" si="22"/>
        <v>17.374594070225807</v>
      </c>
      <c r="R40" s="237">
        <f>82/Q40</f>
        <v>4.719534722282827</v>
      </c>
      <c r="S40" s="266" t="s">
        <v>159</v>
      </c>
      <c r="T40" s="176">
        <f t="shared" si="23"/>
        <v>0.1861771192977555</v>
      </c>
      <c r="U40" s="176">
        <f t="shared" si="24"/>
        <v>0.08957991550978256</v>
      </c>
      <c r="V40" s="62"/>
      <c r="W40" s="162"/>
    </row>
    <row r="41" spans="1:23" ht="15.75">
      <c r="A41" s="109" t="s">
        <v>10</v>
      </c>
      <c r="B41" s="109" t="s">
        <v>34</v>
      </c>
      <c r="C41" s="110">
        <v>57</v>
      </c>
      <c r="D41" s="111">
        <f t="shared" si="29"/>
        <v>220</v>
      </c>
      <c r="E41" s="67">
        <f t="shared" si="30"/>
        <v>0.7802727272727272</v>
      </c>
      <c r="F41" s="133">
        <f t="shared" si="17"/>
        <v>0.03096514370237058</v>
      </c>
      <c r="G41" s="184">
        <f t="shared" si="18"/>
        <v>0.04128685826982744</v>
      </c>
      <c r="H41" s="262">
        <f t="shared" si="7"/>
        <v>0.6799054088501143</v>
      </c>
      <c r="I41" s="271">
        <f t="shared" si="25"/>
        <v>0.5399054088501143</v>
      </c>
      <c r="J41" s="144">
        <f t="shared" si="26"/>
        <v>15.48257185118529</v>
      </c>
      <c r="K41" s="67">
        <f t="shared" si="19"/>
        <v>0.35917121993399304</v>
      </c>
      <c r="L41" s="135">
        <f t="shared" si="20"/>
        <v>0.459171219933993</v>
      </c>
      <c r="M41" s="139">
        <f t="shared" si="21"/>
        <v>0.042965143702370576</v>
      </c>
      <c r="N41" s="112">
        <f t="shared" si="27"/>
        <v>0.4904962508297067</v>
      </c>
      <c r="O41" s="110">
        <v>1</v>
      </c>
      <c r="P41" s="113">
        <v>10</v>
      </c>
      <c r="Q41" s="243">
        <f t="shared" si="22"/>
        <v>16.71824857073093</v>
      </c>
      <c r="R41" s="237">
        <f aca="true" t="shared" si="31" ref="R41:R47">82/Q41</f>
        <v>4.904820002710064</v>
      </c>
      <c r="S41" s="238"/>
      <c r="T41" s="176">
        <f t="shared" si="23"/>
        <v>0.18050400394439603</v>
      </c>
      <c r="U41" s="176">
        <f t="shared" si="24"/>
        <v>0.08288224369411862</v>
      </c>
      <c r="V41" s="62"/>
      <c r="W41" s="162"/>
    </row>
    <row r="42" spans="1:23" ht="15.75">
      <c r="A42" s="109" t="s">
        <v>66</v>
      </c>
      <c r="B42" s="109" t="s">
        <v>35</v>
      </c>
      <c r="C42" s="110">
        <v>58</v>
      </c>
      <c r="D42" s="111">
        <f t="shared" si="29"/>
        <v>233.08188075904496</v>
      </c>
      <c r="E42" s="67">
        <f t="shared" si="30"/>
        <v>0.7364793841588159</v>
      </c>
      <c r="F42" s="133">
        <f t="shared" si="17"/>
        <v>0.029795399383273597</v>
      </c>
      <c r="G42" s="184">
        <f t="shared" si="18"/>
        <v>0.03972719917769813</v>
      </c>
      <c r="H42" s="262">
        <f t="shared" si="7"/>
        <v>0.6799054088501146</v>
      </c>
      <c r="I42" s="271">
        <f t="shared" si="25"/>
        <v>0.5399054088501146</v>
      </c>
      <c r="J42" s="144">
        <f t="shared" si="26"/>
        <v>14.897699691636799</v>
      </c>
      <c r="K42" s="67">
        <f t="shared" si="19"/>
        <v>0.33844429269613435</v>
      </c>
      <c r="L42" s="135">
        <f t="shared" si="20"/>
        <v>0.43844429269613433</v>
      </c>
      <c r="M42" s="139">
        <f t="shared" si="21"/>
        <v>0.0417953993832736</v>
      </c>
      <c r="N42" s="112">
        <f t="shared" si="27"/>
        <v>0.5322916502129803</v>
      </c>
      <c r="O42" s="110">
        <v>1</v>
      </c>
      <c r="P42" s="113">
        <v>11</v>
      </c>
      <c r="Q42" s="243">
        <f t="shared" si="22"/>
        <v>16.086697285878785</v>
      </c>
      <c r="R42" s="237">
        <f t="shared" si="31"/>
        <v>5.097379439841961</v>
      </c>
      <c r="S42" s="238"/>
      <c r="T42" s="176">
        <f t="shared" si="23"/>
        <v>0.17504519712194347</v>
      </c>
      <c r="U42" s="176">
        <f t="shared" si="24"/>
        <v>0.07674756764198591</v>
      </c>
      <c r="V42" s="62"/>
      <c r="W42" s="162"/>
    </row>
    <row r="43" spans="1:23" ht="15.75">
      <c r="A43" s="109" t="s">
        <v>11</v>
      </c>
      <c r="B43" s="109" t="s">
        <v>36</v>
      </c>
      <c r="C43" s="110">
        <v>59</v>
      </c>
      <c r="D43" s="111">
        <f t="shared" si="29"/>
        <v>246.94165062806206</v>
      </c>
      <c r="E43" s="67">
        <f t="shared" si="30"/>
        <v>0.6951439725271392</v>
      </c>
      <c r="F43" s="133">
        <f t="shared" si="17"/>
        <v>0.028669843516366967</v>
      </c>
      <c r="G43" s="184">
        <f t="shared" si="18"/>
        <v>0.038226458021822625</v>
      </c>
      <c r="H43" s="262">
        <f t="shared" si="7"/>
        <v>0.6799054088501146</v>
      </c>
      <c r="I43" s="271">
        <f t="shared" si="25"/>
        <v>0.5399054088501146</v>
      </c>
      <c r="J43" s="144">
        <f t="shared" si="26"/>
        <v>14.334921758183484</v>
      </c>
      <c r="K43" s="67">
        <f t="shared" si="19"/>
        <v>0.31890214274720263</v>
      </c>
      <c r="L43" s="135">
        <f t="shared" si="20"/>
        <v>0.4189021427472026</v>
      </c>
      <c r="M43" s="139">
        <f t="shared" si="21"/>
        <v>0.04066984351636697</v>
      </c>
      <c r="N43" s="112">
        <f t="shared" si="27"/>
        <v>0.5729614937293472</v>
      </c>
      <c r="O43" s="110">
        <v>1</v>
      </c>
      <c r="P43" s="113">
        <v>12</v>
      </c>
      <c r="Q43" s="243">
        <f t="shared" si="22"/>
        <v>15.479003585372915</v>
      </c>
      <c r="R43" s="237">
        <f t="shared" si="31"/>
        <v>5.297498611440788</v>
      </c>
      <c r="S43" s="238"/>
      <c r="T43" s="176">
        <f t="shared" si="23"/>
        <v>0.1697926030763792</v>
      </c>
      <c r="U43" s="176">
        <f t="shared" si="24"/>
        <v>0.07112648525132051</v>
      </c>
      <c r="V43" s="62"/>
      <c r="W43" s="162"/>
    </row>
    <row r="44" spans="1:23" ht="15.75">
      <c r="A44" s="109" t="s">
        <v>12</v>
      </c>
      <c r="B44" s="109" t="s">
        <v>99</v>
      </c>
      <c r="C44" s="110">
        <v>60</v>
      </c>
      <c r="D44" s="111">
        <f t="shared" si="29"/>
        <v>261.6255653005986</v>
      </c>
      <c r="E44" s="67">
        <f t="shared" si="30"/>
        <v>0.6561285392838756</v>
      </c>
      <c r="F44" s="133">
        <f t="shared" si="17"/>
        <v>0.027586806831473354</v>
      </c>
      <c r="G44" s="184">
        <f t="shared" si="18"/>
        <v>0.03678240910863114</v>
      </c>
      <c r="H44" s="262">
        <f t="shared" si="7"/>
        <v>0.6799054088501145</v>
      </c>
      <c r="I44" s="271">
        <f t="shared" si="25"/>
        <v>0.5399054088501145</v>
      </c>
      <c r="J44" s="144">
        <f t="shared" si="26"/>
        <v>13.793403415736677</v>
      </c>
      <c r="K44" s="67">
        <f t="shared" si="19"/>
        <v>0.30047746281046445</v>
      </c>
      <c r="L44" s="135">
        <f t="shared" si="20"/>
        <v>0.4004774628104644</v>
      </c>
      <c r="M44" s="139">
        <f t="shared" si="21"/>
        <v>0.03958680683147335</v>
      </c>
      <c r="N44" s="112">
        <f t="shared" si="27"/>
        <v>0.6125483005608205</v>
      </c>
      <c r="O44" s="110">
        <v>1</v>
      </c>
      <c r="P44" s="113">
        <v>13</v>
      </c>
      <c r="Q44" s="243">
        <f t="shared" si="22"/>
        <v>14.894266221215753</v>
      </c>
      <c r="R44" s="237">
        <f t="shared" si="31"/>
        <v>5.5054743068307195</v>
      </c>
      <c r="S44" s="238"/>
      <c r="T44" s="176">
        <f t="shared" si="23"/>
        <v>0.16473843188020898</v>
      </c>
      <c r="U44" s="176">
        <f t="shared" si="24"/>
        <v>0.06597402922676061</v>
      </c>
      <c r="V44" s="62"/>
      <c r="W44" s="162"/>
    </row>
    <row r="45" spans="1:23" ht="15.75">
      <c r="A45" s="109" t="s">
        <v>67</v>
      </c>
      <c r="B45" s="109" t="s">
        <v>37</v>
      </c>
      <c r="C45" s="110">
        <v>61</v>
      </c>
      <c r="D45" s="111">
        <f t="shared" si="29"/>
        <v>277.1826309768721</v>
      </c>
      <c r="E45" s="67">
        <f t="shared" si="30"/>
        <v>0.6193028740474117</v>
      </c>
      <c r="F45" s="133">
        <f t="shared" si="17"/>
        <v>0.0265446831170379</v>
      </c>
      <c r="G45" s="184">
        <f t="shared" si="18"/>
        <v>0.0353929108227172</v>
      </c>
      <c r="H45" s="262">
        <f t="shared" si="7"/>
        <v>0.6799054088501142</v>
      </c>
      <c r="I45" s="271">
        <f t="shared" si="25"/>
        <v>0.5399054088501142</v>
      </c>
      <c r="J45" s="144">
        <f t="shared" si="26"/>
        <v>13.27234155851895</v>
      </c>
      <c r="K45" s="67">
        <f t="shared" si="19"/>
        <v>0.28310675390666795</v>
      </c>
      <c r="L45" s="135">
        <f t="shared" si="20"/>
        <v>0.38310675390666793</v>
      </c>
      <c r="M45" s="139">
        <f t="shared" si="21"/>
        <v>0.0385446831170379</v>
      </c>
      <c r="N45" s="112">
        <f t="shared" si="27"/>
        <v>0.6510929836778585</v>
      </c>
      <c r="O45" s="110">
        <v>1</v>
      </c>
      <c r="P45" s="113">
        <v>14</v>
      </c>
      <c r="Q45" s="243">
        <f t="shared" si="22"/>
        <v>14.331617991101071</v>
      </c>
      <c r="R45" s="237">
        <f t="shared" si="31"/>
        <v>5.721614967055098</v>
      </c>
      <c r="S45" s="238"/>
      <c r="T45" s="176">
        <f t="shared" si="23"/>
        <v>0.15987518787951022</v>
      </c>
      <c r="U45" s="176">
        <f t="shared" si="24"/>
        <v>0.06124926425873782</v>
      </c>
      <c r="V45" s="62"/>
      <c r="W45" s="162"/>
    </row>
    <row r="46" spans="1:23" ht="15.75">
      <c r="A46" s="109" t="s">
        <v>13</v>
      </c>
      <c r="B46" s="109" t="s">
        <v>38</v>
      </c>
      <c r="C46" s="110">
        <v>62</v>
      </c>
      <c r="D46" s="111">
        <f t="shared" si="29"/>
        <v>293.6647679174076</v>
      </c>
      <c r="E46" s="67">
        <f t="shared" si="30"/>
        <v>0.584544074583298</v>
      </c>
      <c r="F46" s="133">
        <f t="shared" si="17"/>
        <v>0.025541926838015448</v>
      </c>
      <c r="G46" s="184">
        <f t="shared" si="18"/>
        <v>0.034055902450687264</v>
      </c>
      <c r="H46" s="262">
        <f t="shared" si="7"/>
        <v>0.6799054088501146</v>
      </c>
      <c r="I46" s="271">
        <f t="shared" si="25"/>
        <v>0.5399054088501146</v>
      </c>
      <c r="J46" s="144">
        <f t="shared" si="26"/>
        <v>12.770963419007725</v>
      </c>
      <c r="K46" s="67">
        <f t="shared" si="19"/>
        <v>0.2667301104536336</v>
      </c>
      <c r="L46" s="135">
        <f t="shared" si="20"/>
        <v>0.3667301104536336</v>
      </c>
      <c r="M46" s="139">
        <f t="shared" si="21"/>
        <v>0.03754192683801545</v>
      </c>
      <c r="N46" s="112">
        <f t="shared" si="27"/>
        <v>0.688634910515874</v>
      </c>
      <c r="O46" s="110">
        <v>1</v>
      </c>
      <c r="P46" s="113">
        <v>15</v>
      </c>
      <c r="Q46" s="243">
        <f t="shared" si="22"/>
        <v>13.790224452298446</v>
      </c>
      <c r="R46" s="237">
        <f t="shared" si="31"/>
        <v>5.946241142313887</v>
      </c>
      <c r="S46" s="238"/>
      <c r="T46" s="176">
        <f t="shared" si="23"/>
        <v>0.15519565857740544</v>
      </c>
      <c r="U46" s="176">
        <f t="shared" si="24"/>
        <v>0.056914921012016305</v>
      </c>
      <c r="V46" s="62"/>
      <c r="W46" s="162"/>
    </row>
    <row r="47" spans="1:23" ht="15.75">
      <c r="A47" s="109" t="s">
        <v>68</v>
      </c>
      <c r="B47" s="109" t="s">
        <v>39</v>
      </c>
      <c r="C47" s="110">
        <v>63</v>
      </c>
      <c r="D47" s="111">
        <f t="shared" si="29"/>
        <v>311.12698372208087</v>
      </c>
      <c r="E47" s="67">
        <f t="shared" si="30"/>
        <v>0.5517361366294671</v>
      </c>
      <c r="F47" s="133">
        <f t="shared" si="17"/>
        <v>0.024577050843744765</v>
      </c>
      <c r="G47" s="184">
        <f t="shared" si="18"/>
        <v>0.03276940112499302</v>
      </c>
      <c r="H47" s="262">
        <f t="shared" si="7"/>
        <v>0.6799054088501144</v>
      </c>
      <c r="I47" s="271">
        <f t="shared" si="25"/>
        <v>0.5399054088501144</v>
      </c>
      <c r="J47" s="144">
        <f t="shared" si="26"/>
        <v>12.288525421872382</v>
      </c>
      <c r="K47" s="67">
        <f t="shared" si="19"/>
        <v>0.25129101747098875</v>
      </c>
      <c r="L47" s="135">
        <f t="shared" si="20"/>
        <v>0.35129101747098873</v>
      </c>
      <c r="M47" s="139">
        <f t="shared" si="21"/>
        <v>0.03657705084374477</v>
      </c>
      <c r="N47" s="131">
        <f t="shared" si="27"/>
        <v>0.7252119613596187</v>
      </c>
      <c r="O47" s="110">
        <v>1</v>
      </c>
      <c r="P47" s="113">
        <v>16</v>
      </c>
      <c r="Q47" s="243">
        <f t="shared" si="22"/>
        <v>13.269282684122066</v>
      </c>
      <c r="R47" s="237">
        <f t="shared" si="31"/>
        <v>6.179685967359837</v>
      </c>
      <c r="S47" s="238"/>
      <c r="T47" s="176">
        <f t="shared" si="23"/>
        <v>0.1506929039374756</v>
      </c>
      <c r="U47" s="176">
        <f t="shared" si="24"/>
        <v>0.052937063549853766</v>
      </c>
      <c r="V47" s="62"/>
      <c r="W47" s="162"/>
    </row>
    <row r="48" spans="1:22" ht="15.75">
      <c r="A48" s="124"/>
      <c r="B48" s="124"/>
      <c r="C48" s="125"/>
      <c r="D48" s="126"/>
      <c r="E48" s="127"/>
      <c r="F48" s="128"/>
      <c r="G48" s="154"/>
      <c r="H48" s="261"/>
      <c r="I48" s="261"/>
      <c r="J48" s="143"/>
      <c r="K48" s="127"/>
      <c r="L48" s="127"/>
      <c r="M48" s="140">
        <f>SUM(M32:M47)</f>
        <v>0.7252119613596187</v>
      </c>
      <c r="N48" s="129">
        <f>M48+(15*0.003)</f>
        <v>0.7702119613596188</v>
      </c>
      <c r="O48" s="125"/>
      <c r="P48" s="130"/>
      <c r="R48" s="215"/>
      <c r="S48" s="165"/>
      <c r="U48" s="177">
        <f>SUM(U32:U47)</f>
        <v>1.6033850264304472</v>
      </c>
      <c r="V48" s="62"/>
    </row>
    <row r="49" spans="1:23" ht="15.75">
      <c r="A49" s="114" t="s">
        <v>14</v>
      </c>
      <c r="B49" s="114" t="s">
        <v>40</v>
      </c>
      <c r="C49" s="115">
        <v>64</v>
      </c>
      <c r="D49" s="116">
        <f t="shared" si="29"/>
        <v>329.6275569128699</v>
      </c>
      <c r="E49" s="68">
        <f t="shared" si="30"/>
        <v>0.5207695667427912</v>
      </c>
      <c r="F49" s="134">
        <f t="shared" si="17"/>
        <v>0.02364862416241057</v>
      </c>
      <c r="G49" s="185">
        <f aca="true" t="shared" si="32" ref="G49:G74">F49*4/3</f>
        <v>0.0315314988832141</v>
      </c>
      <c r="H49" s="263">
        <f aca="true" t="shared" si="33" ref="H49:H74">I49+0.14</f>
        <v>0.6799054088501142</v>
      </c>
      <c r="I49" s="272">
        <f>($E$11*$E$11*D49*D49*J49*J49*J49)/($F$11*$F$11*1000000)</f>
        <v>0.5399054088501142</v>
      </c>
      <c r="J49" s="145">
        <f>F49*1000/2</f>
        <v>11.824312081205285</v>
      </c>
      <c r="K49" s="68">
        <f t="shared" si="19"/>
        <v>0.23673615920898503</v>
      </c>
      <c r="L49" s="136">
        <f>K49+$C$5+$C$6</f>
        <v>0.336736159208985</v>
      </c>
      <c r="M49" s="141">
        <f>F49+2*$D$7</f>
        <v>0.03364862416241057</v>
      </c>
      <c r="N49" s="117">
        <f>O49*M49</f>
        <v>0.03364862416241057</v>
      </c>
      <c r="O49" s="115">
        <v>1</v>
      </c>
      <c r="P49" s="118">
        <v>17</v>
      </c>
      <c r="Q49" s="243">
        <f aca="true" t="shared" si="34" ref="Q49:Q74">I49*F49*1000</f>
        <v>12.76802009714897</v>
      </c>
      <c r="R49" s="170">
        <f>66/Q49</f>
        <v>5.169164795937112</v>
      </c>
      <c r="S49" s="170" t="s">
        <v>150</v>
      </c>
      <c r="T49" s="176">
        <f aca="true" t="shared" si="35" ref="T49:T74">2*(M49+G49+0.006)</f>
        <v>0.14236024609124937</v>
      </c>
      <c r="U49" s="176">
        <f aca="true" t="shared" si="36" ref="U49:U74">T49*L49</f>
        <v>0.04793784249281323</v>
      </c>
      <c r="V49" s="62"/>
      <c r="W49" s="162"/>
    </row>
    <row r="50" spans="1:23" ht="15.75">
      <c r="A50" s="114" t="s">
        <v>15</v>
      </c>
      <c r="B50" s="114" t="s">
        <v>30</v>
      </c>
      <c r="C50" s="115">
        <v>65</v>
      </c>
      <c r="D50" s="116">
        <f t="shared" si="29"/>
        <v>349.2282314330039</v>
      </c>
      <c r="E50" s="68">
        <f t="shared" si="30"/>
        <v>0.49154101687489526</v>
      </c>
      <c r="F50" s="134">
        <f t="shared" si="17"/>
        <v>0.02275526987882229</v>
      </c>
      <c r="G50" s="185">
        <f t="shared" si="32"/>
        <v>0.030340359838429722</v>
      </c>
      <c r="H50" s="263">
        <f t="shared" si="33"/>
        <v>0.6799054088501144</v>
      </c>
      <c r="I50" s="272">
        <f aca="true" t="shared" si="37" ref="I50:I74">($E$11*$E$11*D50*D50*J50*J50*J50)/($F$11*$F$11*1000000)</f>
        <v>0.5399054088501144</v>
      </c>
      <c r="J50" s="145">
        <f aca="true" t="shared" si="38" ref="J50:J74">F50*1000/2</f>
        <v>11.377634939411145</v>
      </c>
      <c r="K50" s="68">
        <f t="shared" si="19"/>
        <v>0.22301523855862534</v>
      </c>
      <c r="L50" s="136">
        <f t="shared" si="20"/>
        <v>0.3230152385586253</v>
      </c>
      <c r="M50" s="141">
        <f>F50+2*$D$7</f>
        <v>0.03275526987882229</v>
      </c>
      <c r="N50" s="117">
        <f aca="true" t="shared" si="39" ref="N50:N74">O50*M50+N49</f>
        <v>0.06640389404123287</v>
      </c>
      <c r="O50" s="115">
        <v>1</v>
      </c>
      <c r="P50" s="118">
        <v>18</v>
      </c>
      <c r="Q50" s="243">
        <f t="shared" si="34"/>
        <v>12.285693287420242</v>
      </c>
      <c r="R50" s="170">
        <f aca="true" t="shared" si="40" ref="R50:R57">66/Q50</f>
        <v>5.3721022050566525</v>
      </c>
      <c r="S50" s="170"/>
      <c r="T50" s="176">
        <f t="shared" si="35"/>
        <v>0.13819125943450403</v>
      </c>
      <c r="U50" s="176">
        <f t="shared" si="36"/>
        <v>0.044637882632953194</v>
      </c>
      <c r="V50" s="62"/>
      <c r="W50" s="162"/>
    </row>
    <row r="51" spans="1:23" ht="15.75">
      <c r="A51" s="114" t="s">
        <v>69</v>
      </c>
      <c r="B51" s="114" t="s">
        <v>31</v>
      </c>
      <c r="C51" s="115">
        <v>66</v>
      </c>
      <c r="D51" s="116">
        <f t="shared" si="29"/>
        <v>369.99442271163446</v>
      </c>
      <c r="E51" s="68">
        <f t="shared" si="30"/>
        <v>0.4639529394576524</v>
      </c>
      <c r="F51" s="134">
        <f t="shared" si="17"/>
        <v>0.021895663092362155</v>
      </c>
      <c r="G51" s="185">
        <f t="shared" si="32"/>
        <v>0.029194217456482874</v>
      </c>
      <c r="H51" s="263">
        <f t="shared" si="33"/>
        <v>0.6799054088501147</v>
      </c>
      <c r="I51" s="272">
        <f t="shared" si="37"/>
        <v>0.5399054088501147</v>
      </c>
      <c r="J51" s="145">
        <f t="shared" si="38"/>
        <v>10.947831546181078</v>
      </c>
      <c r="K51" s="68">
        <f t="shared" si="19"/>
        <v>0.21008080663646406</v>
      </c>
      <c r="L51" s="136">
        <f>K51+$C$5+$C$6</f>
        <v>0.31008080663646403</v>
      </c>
      <c r="M51" s="141">
        <f>F51+2*$D$7</f>
        <v>0.03189566309236216</v>
      </c>
      <c r="N51" s="117">
        <f t="shared" si="39"/>
        <v>0.09829955713359503</v>
      </c>
      <c r="O51" s="115">
        <v>1</v>
      </c>
      <c r="P51" s="118">
        <v>19</v>
      </c>
      <c r="Q51" s="243">
        <f t="shared" si="34"/>
        <v>11.821586933926158</v>
      </c>
      <c r="R51" s="170">
        <f t="shared" si="40"/>
        <v>5.583006779791132</v>
      </c>
      <c r="S51" s="170"/>
      <c r="T51" s="176">
        <f t="shared" si="35"/>
        <v>0.13417976109769006</v>
      </c>
      <c r="U51" s="176">
        <f t="shared" si="36"/>
        <v>0.04160656855545977</v>
      </c>
      <c r="V51" s="62"/>
      <c r="W51" s="162"/>
    </row>
    <row r="52" spans="1:23" s="30" customFormat="1" ht="15.75">
      <c r="A52" s="114" t="s">
        <v>16</v>
      </c>
      <c r="B52" s="114" t="s">
        <v>32</v>
      </c>
      <c r="C52" s="115">
        <v>67</v>
      </c>
      <c r="D52" s="116">
        <f t="shared" si="29"/>
        <v>391.99543598174927</v>
      </c>
      <c r="E52" s="68">
        <f t="shared" si="30"/>
        <v>0.4379132618472431</v>
      </c>
      <c r="F52" s="134">
        <f t="shared" si="17"/>
        <v>0.021068528952074235</v>
      </c>
      <c r="G52" s="185">
        <f t="shared" si="32"/>
        <v>0.02809137193609898</v>
      </c>
      <c r="H52" s="263">
        <f t="shared" si="33"/>
        <v>0.6799054088501144</v>
      </c>
      <c r="I52" s="272">
        <f t="shared" si="37"/>
        <v>0.5399054088501144</v>
      </c>
      <c r="J52" s="145">
        <f t="shared" si="38"/>
        <v>10.534264476037118</v>
      </c>
      <c r="K52" s="68">
        <f t="shared" si="19"/>
        <v>0.19788810197154733</v>
      </c>
      <c r="L52" s="136">
        <f t="shared" si="20"/>
        <v>0.2978881019715473</v>
      </c>
      <c r="M52" s="141">
        <f>F52+2*$D$7</f>
        <v>0.031068528952074237</v>
      </c>
      <c r="N52" s="117">
        <f t="shared" si="39"/>
        <v>0.12936808608566927</v>
      </c>
      <c r="O52" s="115">
        <v>1</v>
      </c>
      <c r="P52" s="118">
        <v>20</v>
      </c>
      <c r="Q52" s="243">
        <f t="shared" si="34"/>
        <v>11.375012737740112</v>
      </c>
      <c r="R52" s="170">
        <f t="shared" si="40"/>
        <v>5.8021913048962706</v>
      </c>
      <c r="S52" s="192"/>
      <c r="T52" s="176">
        <f t="shared" si="35"/>
        <v>0.13031980177634644</v>
      </c>
      <c r="U52" s="176">
        <f t="shared" si="36"/>
        <v>0.038820718400464124</v>
      </c>
      <c r="V52" s="62"/>
      <c r="W52" s="162"/>
    </row>
    <row r="53" spans="1:23" ht="15.75">
      <c r="A53" s="114" t="s">
        <v>70</v>
      </c>
      <c r="B53" s="114" t="s">
        <v>33</v>
      </c>
      <c r="C53" s="115">
        <v>68</v>
      </c>
      <c r="D53" s="116">
        <f t="shared" si="29"/>
        <v>415.3046975799451</v>
      </c>
      <c r="E53" s="68">
        <f t="shared" si="30"/>
        <v>0.41333507904026506</v>
      </c>
      <c r="F53" s="134">
        <f t="shared" si="17"/>
        <v>0.020272640765980253</v>
      </c>
      <c r="G53" s="185">
        <f t="shared" si="32"/>
        <v>0.027030187687973672</v>
      </c>
      <c r="H53" s="263">
        <f t="shared" si="33"/>
        <v>0.6799054088501143</v>
      </c>
      <c r="I53" s="272">
        <f t="shared" si="37"/>
        <v>0.5399054088501143</v>
      </c>
      <c r="J53" s="145">
        <f t="shared" si="38"/>
        <v>10.136320382990126</v>
      </c>
      <c r="K53" s="68">
        <f t="shared" si="19"/>
        <v>0.18639489875415227</v>
      </c>
      <c r="L53" s="136">
        <f>K53+$D$5+$D$6</f>
        <v>0.26639489875415223</v>
      </c>
      <c r="M53" s="141">
        <f>F53+2*$D$7</f>
        <v>0.030272640765980255</v>
      </c>
      <c r="N53" s="117">
        <f t="shared" si="39"/>
        <v>0.15964072685164954</v>
      </c>
      <c r="O53" s="115">
        <v>1</v>
      </c>
      <c r="P53" s="118">
        <v>21</v>
      </c>
      <c r="Q53" s="243">
        <f t="shared" si="34"/>
        <v>10.945308401228061</v>
      </c>
      <c r="R53" s="170">
        <f t="shared" si="40"/>
        <v>6.029980844815192</v>
      </c>
      <c r="S53" s="171"/>
      <c r="T53" s="176">
        <f t="shared" si="35"/>
        <v>0.12660565690790787</v>
      </c>
      <c r="U53" s="176">
        <f t="shared" si="36"/>
        <v>0.03372710115368505</v>
      </c>
      <c r="V53" s="62"/>
      <c r="W53" s="162"/>
    </row>
    <row r="54" spans="1:23" ht="15.75">
      <c r="A54" s="119" t="s">
        <v>17</v>
      </c>
      <c r="B54" s="114" t="s">
        <v>34</v>
      </c>
      <c r="C54" s="115">
        <v>69</v>
      </c>
      <c r="D54" s="116">
        <f aca="true" t="shared" si="41" ref="D54:D69">$A$11*POWER(2,(C54-69)/12)</f>
        <v>440</v>
      </c>
      <c r="E54" s="68">
        <f aca="true" t="shared" si="42" ref="E54:E69">0.5*$B$11/D54</f>
        <v>0.3901363636363636</v>
      </c>
      <c r="F54" s="134">
        <f t="shared" si="17"/>
        <v>0.01950681818181818</v>
      </c>
      <c r="G54" s="185">
        <f t="shared" si="32"/>
        <v>0.02600909090909091</v>
      </c>
      <c r="H54" s="263">
        <f t="shared" si="33"/>
        <v>0.6799054088501143</v>
      </c>
      <c r="I54" s="272">
        <f t="shared" si="37"/>
        <v>0.5399054088501143</v>
      </c>
      <c r="J54" s="145">
        <f t="shared" si="38"/>
        <v>9.75340909090909</v>
      </c>
      <c r="K54" s="68">
        <f t="shared" si="19"/>
        <v>0.17556136363636363</v>
      </c>
      <c r="L54" s="136">
        <f aca="true" t="shared" si="43" ref="L54:L74">K54+$D$5+$D$6</f>
        <v>0.2555613636363636</v>
      </c>
      <c r="M54" s="141">
        <f aca="true" t="shared" si="44" ref="M54:M74">F54+2*$D$7</f>
        <v>0.029506818181818183</v>
      </c>
      <c r="N54" s="117">
        <f t="shared" si="39"/>
        <v>0.18914754503346773</v>
      </c>
      <c r="O54" s="115">
        <v>1</v>
      </c>
      <c r="P54" s="118">
        <v>22</v>
      </c>
      <c r="Q54" s="243">
        <f t="shared" si="34"/>
        <v>10.53183664581939</v>
      </c>
      <c r="R54" s="170">
        <f t="shared" si="40"/>
        <v>6.266713225769475</v>
      </c>
      <c r="S54" s="171"/>
      <c r="T54" s="176">
        <f t="shared" si="35"/>
        <v>0.12303181818181817</v>
      </c>
      <c r="U54" s="176">
        <f t="shared" si="36"/>
        <v>0.031442179225206604</v>
      </c>
      <c r="V54" s="62"/>
      <c r="W54" s="162"/>
    </row>
    <row r="55" spans="1:23" ht="15.75">
      <c r="A55" s="114" t="s">
        <v>71</v>
      </c>
      <c r="B55" s="114" t="s">
        <v>35</v>
      </c>
      <c r="C55" s="115">
        <v>70</v>
      </c>
      <c r="D55" s="116">
        <f t="shared" si="41"/>
        <v>466.1637615180899</v>
      </c>
      <c r="E55" s="68">
        <f t="shared" si="42"/>
        <v>0.36823969207940793</v>
      </c>
      <c r="F55" s="134">
        <f t="shared" si="17"/>
        <v>0.018769925436505564</v>
      </c>
      <c r="G55" s="185">
        <f t="shared" si="32"/>
        <v>0.025026567248674084</v>
      </c>
      <c r="H55" s="263">
        <f t="shared" si="33"/>
        <v>0.6799054088501145</v>
      </c>
      <c r="I55" s="272">
        <f t="shared" si="37"/>
        <v>0.5399054088501145</v>
      </c>
      <c r="J55" s="145">
        <f t="shared" si="38"/>
        <v>9.384962718252781</v>
      </c>
      <c r="K55" s="68">
        <f t="shared" si="19"/>
        <v>0.1653499206031984</v>
      </c>
      <c r="L55" s="136">
        <f t="shared" si="43"/>
        <v>0.2453499206031984</v>
      </c>
      <c r="M55" s="141">
        <f t="shared" si="44"/>
        <v>0.028769925436505563</v>
      </c>
      <c r="N55" s="117">
        <f t="shared" si="39"/>
        <v>0.21791747046997328</v>
      </c>
      <c r="O55" s="115">
        <v>1</v>
      </c>
      <c r="P55" s="118">
        <v>23</v>
      </c>
      <c r="Q55" s="243">
        <f>I55*F55*1000</f>
        <v>10.1339842668827</v>
      </c>
      <c r="R55" s="170">
        <f t="shared" si="40"/>
        <v>6.512739536776699</v>
      </c>
      <c r="S55" s="171"/>
      <c r="T55" s="176">
        <f t="shared" si="35"/>
        <v>0.1195929853703593</v>
      </c>
      <c r="U55" s="176">
        <f t="shared" si="36"/>
        <v>0.029342129465317123</v>
      </c>
      <c r="V55" s="62"/>
      <c r="W55" s="162"/>
    </row>
    <row r="56" spans="1:23" ht="15.75">
      <c r="A56" s="114" t="s">
        <v>18</v>
      </c>
      <c r="B56" s="114" t="s">
        <v>36</v>
      </c>
      <c r="C56" s="115">
        <v>71</v>
      </c>
      <c r="D56" s="116">
        <f t="shared" si="41"/>
        <v>493.8833012561241</v>
      </c>
      <c r="E56" s="68">
        <f t="shared" si="42"/>
        <v>0.3475719862635696</v>
      </c>
      <c r="F56" s="134">
        <f t="shared" si="17"/>
        <v>0.018060869671731393</v>
      </c>
      <c r="G56" s="185">
        <f t="shared" si="32"/>
        <v>0.024081159562308524</v>
      </c>
      <c r="H56" s="263">
        <f t="shared" si="33"/>
        <v>0.6799054088501144</v>
      </c>
      <c r="I56" s="272">
        <f t="shared" si="37"/>
        <v>0.5399054088501144</v>
      </c>
      <c r="J56" s="145">
        <f t="shared" si="38"/>
        <v>9.030434835865696</v>
      </c>
      <c r="K56" s="68">
        <f t="shared" si="19"/>
        <v>0.1557251234600534</v>
      </c>
      <c r="L56" s="136">
        <f t="shared" si="43"/>
        <v>0.2357251234600534</v>
      </c>
      <c r="M56" s="141">
        <f t="shared" si="44"/>
        <v>0.028060869671731395</v>
      </c>
      <c r="N56" s="117">
        <f t="shared" si="39"/>
        <v>0.24597834014170467</v>
      </c>
      <c r="O56" s="115">
        <v>1</v>
      </c>
      <c r="P56" s="118">
        <v>24</v>
      </c>
      <c r="Q56" s="243">
        <f t="shared" si="34"/>
        <v>9.751161224304768</v>
      </c>
      <c r="R56" s="170">
        <f t="shared" si="40"/>
        <v>6.7684246503375425</v>
      </c>
      <c r="S56" s="171"/>
      <c r="T56" s="176">
        <f t="shared" si="35"/>
        <v>0.11628405846807983</v>
      </c>
      <c r="U56" s="176">
        <f t="shared" si="36"/>
        <v>0.027411074038824187</v>
      </c>
      <c r="V56" s="62"/>
      <c r="W56" s="162"/>
    </row>
    <row r="57" spans="1:23" ht="15.75">
      <c r="A57" s="114" t="s">
        <v>19</v>
      </c>
      <c r="B57" s="114" t="s">
        <v>100</v>
      </c>
      <c r="C57" s="115">
        <v>72</v>
      </c>
      <c r="D57" s="116">
        <f t="shared" si="41"/>
        <v>523.2511306011972</v>
      </c>
      <c r="E57" s="68">
        <f t="shared" si="42"/>
        <v>0.3280642696419378</v>
      </c>
      <c r="F57" s="134">
        <f t="shared" si="17"/>
        <v>0.01737859931317848</v>
      </c>
      <c r="G57" s="185">
        <f t="shared" si="32"/>
        <v>0.023171465750904643</v>
      </c>
      <c r="H57" s="263">
        <f t="shared" si="33"/>
        <v>0.6799054088501143</v>
      </c>
      <c r="I57" s="272">
        <f t="shared" si="37"/>
        <v>0.5399054088501143</v>
      </c>
      <c r="J57" s="145">
        <f t="shared" si="38"/>
        <v>8.68929965658924</v>
      </c>
      <c r="K57" s="68">
        <f t="shared" si="19"/>
        <v>0.14665353550779042</v>
      </c>
      <c r="L57" s="136">
        <f t="shared" si="43"/>
        <v>0.2266535355077904</v>
      </c>
      <c r="M57" s="141">
        <f t="shared" si="44"/>
        <v>0.02737859931317848</v>
      </c>
      <c r="N57" s="117">
        <f t="shared" si="39"/>
        <v>0.27335693945488315</v>
      </c>
      <c r="O57" s="115">
        <v>1</v>
      </c>
      <c r="P57" s="118">
        <v>25</v>
      </c>
      <c r="Q57" s="243">
        <f t="shared" si="34"/>
        <v>9.382799767423943</v>
      </c>
      <c r="R57" s="170">
        <f t="shared" si="40"/>
        <v>7.034147763564644</v>
      </c>
      <c r="S57" s="171"/>
      <c r="T57" s="176">
        <f t="shared" si="35"/>
        <v>0.11310013012816623</v>
      </c>
      <c r="U57" s="176">
        <f t="shared" si="36"/>
        <v>0.025634544359940042</v>
      </c>
      <c r="V57" s="62"/>
      <c r="W57" s="162"/>
    </row>
    <row r="58" spans="1:23" ht="15.75">
      <c r="A58" s="114" t="s">
        <v>72</v>
      </c>
      <c r="B58" s="114" t="s">
        <v>37</v>
      </c>
      <c r="C58" s="115">
        <v>73</v>
      </c>
      <c r="D58" s="116">
        <f t="shared" si="41"/>
        <v>554.3652619537442</v>
      </c>
      <c r="E58" s="68">
        <f t="shared" si="42"/>
        <v>0.30965143702370584</v>
      </c>
      <c r="F58" s="134">
        <f t="shared" si="17"/>
        <v>0.016722102510972555</v>
      </c>
      <c r="G58" s="185">
        <f t="shared" si="32"/>
        <v>0.02229613668129674</v>
      </c>
      <c r="H58" s="263">
        <f t="shared" si="33"/>
        <v>0.6799054088501144</v>
      </c>
      <c r="I58" s="272">
        <f t="shared" si="37"/>
        <v>0.5399054088501144</v>
      </c>
      <c r="J58" s="145">
        <f t="shared" si="38"/>
        <v>8.361051255486277</v>
      </c>
      <c r="K58" s="68">
        <f t="shared" si="19"/>
        <v>0.13810361600088036</v>
      </c>
      <c r="L58" s="136">
        <f t="shared" si="43"/>
        <v>0.21810361600088038</v>
      </c>
      <c r="M58" s="141">
        <f t="shared" si="44"/>
        <v>0.026722102510972554</v>
      </c>
      <c r="N58" s="117">
        <f t="shared" si="39"/>
        <v>0.3000790419658557</v>
      </c>
      <c r="O58" s="115">
        <v>1</v>
      </c>
      <c r="P58" s="118">
        <v>26</v>
      </c>
      <c r="Q58" s="243">
        <f t="shared" si="34"/>
        <v>9.028353593020162</v>
      </c>
      <c r="R58" s="172">
        <f>53/Q58</f>
        <v>5.870394801658456</v>
      </c>
      <c r="S58" s="268" t="s">
        <v>160</v>
      </c>
      <c r="T58" s="176">
        <f t="shared" si="35"/>
        <v>0.11003647838453857</v>
      </c>
      <c r="U58" s="176">
        <f t="shared" si="36"/>
        <v>0.023999353827670575</v>
      </c>
      <c r="V58" s="62"/>
      <c r="W58" s="162"/>
    </row>
    <row r="59" spans="1:23" ht="15.75">
      <c r="A59" s="114" t="s">
        <v>20</v>
      </c>
      <c r="B59" s="114" t="s">
        <v>38</v>
      </c>
      <c r="C59" s="115">
        <v>74</v>
      </c>
      <c r="D59" s="116">
        <f t="shared" si="41"/>
        <v>587.3295358348151</v>
      </c>
      <c r="E59" s="68">
        <f t="shared" si="42"/>
        <v>0.292272037291649</v>
      </c>
      <c r="F59" s="134">
        <f t="shared" si="17"/>
        <v>0.01609040563904523</v>
      </c>
      <c r="G59" s="185">
        <f t="shared" si="32"/>
        <v>0.02145387418539364</v>
      </c>
      <c r="H59" s="263">
        <f t="shared" si="33"/>
        <v>0.6799054088501145</v>
      </c>
      <c r="I59" s="272">
        <f t="shared" si="37"/>
        <v>0.5399054088501145</v>
      </c>
      <c r="J59" s="145">
        <f t="shared" si="38"/>
        <v>8.045202819522615</v>
      </c>
      <c r="K59" s="68">
        <f t="shared" si="19"/>
        <v>0.13004561300677928</v>
      </c>
      <c r="L59" s="136">
        <f t="shared" si="43"/>
        <v>0.2100456130067793</v>
      </c>
      <c r="M59" s="141">
        <f t="shared" si="44"/>
        <v>0.02609040563904523</v>
      </c>
      <c r="N59" s="117">
        <f t="shared" si="39"/>
        <v>0.32616944760490096</v>
      </c>
      <c r="O59" s="115">
        <v>1</v>
      </c>
      <c r="P59" s="118">
        <v>27</v>
      </c>
      <c r="Q59" s="243">
        <f t="shared" si="34"/>
        <v>8.687297035112902</v>
      </c>
      <c r="R59" s="172">
        <f aca="true" t="shared" si="45" ref="R59:R65">53/Q59</f>
        <v>6.100861958072923</v>
      </c>
      <c r="S59" s="268"/>
      <c r="T59" s="176">
        <f t="shared" si="35"/>
        <v>0.10708855964887774</v>
      </c>
      <c r="U59" s="176">
        <f t="shared" si="36"/>
        <v>0.022493482157461574</v>
      </c>
      <c r="V59" s="62"/>
      <c r="W59" s="162"/>
    </row>
    <row r="60" spans="1:23" ht="15.75">
      <c r="A60" s="114" t="s">
        <v>73</v>
      </c>
      <c r="B60" s="114" t="s">
        <v>39</v>
      </c>
      <c r="C60" s="115">
        <v>75</v>
      </c>
      <c r="D60" s="116">
        <f t="shared" si="41"/>
        <v>622.2539674441618</v>
      </c>
      <c r="E60" s="68">
        <f t="shared" si="42"/>
        <v>0.2758680683147335</v>
      </c>
      <c r="F60" s="134">
        <f t="shared" si="17"/>
        <v>0.01548257185118529</v>
      </c>
      <c r="G60" s="185">
        <f t="shared" si="32"/>
        <v>0.02064342913491372</v>
      </c>
      <c r="H60" s="263">
        <f t="shared" si="33"/>
        <v>0.6799054088501144</v>
      </c>
      <c r="I60" s="272">
        <f t="shared" si="37"/>
        <v>0.5399054088501144</v>
      </c>
      <c r="J60" s="145">
        <f t="shared" si="38"/>
        <v>7.741285925592645</v>
      </c>
      <c r="K60" s="68">
        <f t="shared" si="19"/>
        <v>0.12245146230618145</v>
      </c>
      <c r="L60" s="136">
        <f t="shared" si="43"/>
        <v>0.20245146230618147</v>
      </c>
      <c r="M60" s="141">
        <f t="shared" si="44"/>
        <v>0.02548257185118529</v>
      </c>
      <c r="N60" s="117">
        <f t="shared" si="39"/>
        <v>0.35165201945608626</v>
      </c>
      <c r="O60" s="115">
        <v>1</v>
      </c>
      <c r="P60" s="118">
        <v>28</v>
      </c>
      <c r="Q60" s="243">
        <f t="shared" si="34"/>
        <v>8.359124285365466</v>
      </c>
      <c r="R60" s="172">
        <f t="shared" si="45"/>
        <v>6.340377076673984</v>
      </c>
      <c r="S60" s="268"/>
      <c r="T60" s="176">
        <f t="shared" si="35"/>
        <v>0.10425200197219801</v>
      </c>
      <c r="U60" s="176">
        <f t="shared" si="36"/>
        <v>0.021105970247618403</v>
      </c>
      <c r="V60" s="62"/>
      <c r="W60" s="162"/>
    </row>
    <row r="61" spans="1:23" ht="15.75">
      <c r="A61" s="114" t="s">
        <v>21</v>
      </c>
      <c r="B61" s="114" t="s">
        <v>40</v>
      </c>
      <c r="C61" s="115">
        <v>76</v>
      </c>
      <c r="D61" s="116">
        <f t="shared" si="41"/>
        <v>659.2551138257398</v>
      </c>
      <c r="E61" s="68">
        <f t="shared" si="42"/>
        <v>0.2603847833713956</v>
      </c>
      <c r="F61" s="134">
        <f t="shared" si="17"/>
        <v>0.014897699691636795</v>
      </c>
      <c r="G61" s="185">
        <f t="shared" si="32"/>
        <v>0.01986359958884906</v>
      </c>
      <c r="H61" s="263">
        <f t="shared" si="33"/>
        <v>0.6799054088501142</v>
      </c>
      <c r="I61" s="272">
        <f t="shared" si="37"/>
        <v>0.5399054088501142</v>
      </c>
      <c r="J61" s="145">
        <f t="shared" si="38"/>
        <v>7.448849845818398</v>
      </c>
      <c r="K61" s="68">
        <f t="shared" si="19"/>
        <v>0.115294691994061</v>
      </c>
      <c r="L61" s="136">
        <f t="shared" si="43"/>
        <v>0.195294691994061</v>
      </c>
      <c r="M61" s="141">
        <f t="shared" si="44"/>
        <v>0.024897699691636795</v>
      </c>
      <c r="N61" s="117">
        <f t="shared" si="39"/>
        <v>0.37654971914772306</v>
      </c>
      <c r="O61" s="115">
        <v>1</v>
      </c>
      <c r="P61" s="118">
        <v>29</v>
      </c>
      <c r="Q61" s="243">
        <f t="shared" si="34"/>
        <v>8.043348642939385</v>
      </c>
      <c r="R61" s="172">
        <f t="shared" si="45"/>
        <v>6.589295373454249</v>
      </c>
      <c r="S61" s="268"/>
      <c r="T61" s="176">
        <f t="shared" si="35"/>
        <v>0.1015225985609717</v>
      </c>
      <c r="U61" s="176">
        <f t="shared" si="36"/>
        <v>0.01982682461640167</v>
      </c>
      <c r="V61" s="62"/>
      <c r="W61" s="162"/>
    </row>
    <row r="62" spans="1:23" ht="15.75">
      <c r="A62" s="114" t="s">
        <v>22</v>
      </c>
      <c r="B62" s="114" t="s">
        <v>30</v>
      </c>
      <c r="C62" s="115">
        <v>77</v>
      </c>
      <c r="D62" s="116">
        <f t="shared" si="41"/>
        <v>698.4564628660078</v>
      </c>
      <c r="E62" s="68">
        <f t="shared" si="42"/>
        <v>0.24577050843744763</v>
      </c>
      <c r="F62" s="134">
        <f t="shared" si="17"/>
        <v>0.014334921758183483</v>
      </c>
      <c r="G62" s="185">
        <f t="shared" si="32"/>
        <v>0.019113229010911312</v>
      </c>
      <c r="H62" s="263">
        <f t="shared" si="33"/>
        <v>0.6799054088501146</v>
      </c>
      <c r="I62" s="272">
        <f t="shared" si="37"/>
        <v>0.5399054088501146</v>
      </c>
      <c r="J62" s="145">
        <f t="shared" si="38"/>
        <v>7.167460879091742</v>
      </c>
      <c r="K62" s="68">
        <f t="shared" si="19"/>
        <v>0.10855033246054033</v>
      </c>
      <c r="L62" s="136">
        <f t="shared" si="43"/>
        <v>0.18855033246054034</v>
      </c>
      <c r="M62" s="141">
        <f t="shared" si="44"/>
        <v>0.024334921758183484</v>
      </c>
      <c r="N62" s="117">
        <f t="shared" si="39"/>
        <v>0.40088464090590653</v>
      </c>
      <c r="O62" s="115">
        <v>1</v>
      </c>
      <c r="P62" s="118">
        <v>30</v>
      </c>
      <c r="Q62" s="243">
        <f t="shared" si="34"/>
        <v>7.7395017926864575</v>
      </c>
      <c r="R62" s="172">
        <f t="shared" si="45"/>
        <v>6.847986009911263</v>
      </c>
      <c r="S62" s="268"/>
      <c r="T62" s="176">
        <f t="shared" si="35"/>
        <v>0.09889630153818958</v>
      </c>
      <c r="U62" s="176">
        <f t="shared" si="36"/>
        <v>0.018646930534143492</v>
      </c>
      <c r="V62" s="62"/>
      <c r="W62" s="62"/>
    </row>
    <row r="63" spans="1:23" ht="15.75">
      <c r="A63" s="114" t="s">
        <v>74</v>
      </c>
      <c r="B63" s="114" t="s">
        <v>31</v>
      </c>
      <c r="C63" s="115">
        <v>78</v>
      </c>
      <c r="D63" s="116">
        <f t="shared" si="41"/>
        <v>739.9888454232688</v>
      </c>
      <c r="E63" s="68">
        <f t="shared" si="42"/>
        <v>0.23197646972882624</v>
      </c>
      <c r="F63" s="134">
        <f t="shared" si="17"/>
        <v>0.013793403415736673</v>
      </c>
      <c r="G63" s="185">
        <f t="shared" si="32"/>
        <v>0.018391204554315563</v>
      </c>
      <c r="H63" s="263">
        <f t="shared" si="33"/>
        <v>0.6799054088501143</v>
      </c>
      <c r="I63" s="272">
        <f t="shared" si="37"/>
        <v>0.5399054088501143</v>
      </c>
      <c r="J63" s="145">
        <f t="shared" si="38"/>
        <v>6.896701707868337</v>
      </c>
      <c r="K63" s="68">
        <f t="shared" si="19"/>
        <v>0.10219483144867644</v>
      </c>
      <c r="L63" s="136">
        <f t="shared" si="43"/>
        <v>0.18219483144867646</v>
      </c>
      <c r="M63" s="141">
        <f t="shared" si="44"/>
        <v>0.023793403415736672</v>
      </c>
      <c r="N63" s="117">
        <f t="shared" si="39"/>
        <v>0.4246780443216432</v>
      </c>
      <c r="O63" s="115">
        <v>1</v>
      </c>
      <c r="P63" s="118">
        <v>31</v>
      </c>
      <c r="Q63" s="243">
        <f t="shared" si="34"/>
        <v>7.447133110607871</v>
      </c>
      <c r="R63" s="172">
        <f t="shared" si="45"/>
        <v>7.116832640537277</v>
      </c>
      <c r="S63" s="268"/>
      <c r="T63" s="176">
        <f t="shared" si="35"/>
        <v>0.09636921594010446</v>
      </c>
      <c r="U63" s="176">
        <f t="shared" si="36"/>
        <v>0.017557973055048436</v>
      </c>
      <c r="V63" s="62"/>
      <c r="W63" s="162"/>
    </row>
    <row r="64" spans="1:23" ht="15.75">
      <c r="A64" s="114" t="s">
        <v>23</v>
      </c>
      <c r="B64" s="114" t="s">
        <v>32</v>
      </c>
      <c r="C64" s="115">
        <v>79</v>
      </c>
      <c r="D64" s="116">
        <f t="shared" si="41"/>
        <v>783.9908719634985</v>
      </c>
      <c r="E64" s="68">
        <f t="shared" si="42"/>
        <v>0.21895663092362155</v>
      </c>
      <c r="F64" s="134">
        <f t="shared" si="17"/>
        <v>0.01327234155851895</v>
      </c>
      <c r="G64" s="185">
        <f t="shared" si="32"/>
        <v>0.0176964554113586</v>
      </c>
      <c r="H64" s="263">
        <f t="shared" si="33"/>
        <v>0.6799054088501142</v>
      </c>
      <c r="I64" s="272">
        <f t="shared" si="37"/>
        <v>0.5399054088501142</v>
      </c>
      <c r="J64" s="145">
        <f t="shared" si="38"/>
        <v>6.636170779259475</v>
      </c>
      <c r="K64" s="68">
        <f t="shared" si="19"/>
        <v>0.09620597390329183</v>
      </c>
      <c r="L64" s="136">
        <f t="shared" si="43"/>
        <v>0.17620597390329182</v>
      </c>
      <c r="M64" s="141">
        <f t="shared" si="44"/>
        <v>0.02327234155851895</v>
      </c>
      <c r="N64" s="117">
        <f t="shared" si="39"/>
        <v>0.4479503858801621</v>
      </c>
      <c r="O64" s="115">
        <v>1</v>
      </c>
      <c r="P64" s="118">
        <v>32</v>
      </c>
      <c r="Q64" s="243">
        <f t="shared" si="34"/>
        <v>7.1658089955505355</v>
      </c>
      <c r="R64" s="172">
        <f t="shared" si="45"/>
        <v>7.396233981802931</v>
      </c>
      <c r="S64" s="268"/>
      <c r="T64" s="176">
        <f t="shared" si="35"/>
        <v>0.09393759393975509</v>
      </c>
      <c r="U64" s="176">
        <f t="shared" si="36"/>
        <v>0.01655236522628651</v>
      </c>
      <c r="V64" s="62"/>
      <c r="W64" s="162"/>
    </row>
    <row r="65" spans="1:23" ht="15.75">
      <c r="A65" s="114" t="s">
        <v>75</v>
      </c>
      <c r="B65" s="114" t="s">
        <v>33</v>
      </c>
      <c r="C65" s="115">
        <v>80</v>
      </c>
      <c r="D65" s="116">
        <f t="shared" si="41"/>
        <v>830.6093951598903</v>
      </c>
      <c r="E65" s="68">
        <f t="shared" si="42"/>
        <v>0.20666753952013253</v>
      </c>
      <c r="F65" s="134">
        <f t="shared" si="17"/>
        <v>0.012770963419007722</v>
      </c>
      <c r="G65" s="185">
        <f t="shared" si="32"/>
        <v>0.01702795122534363</v>
      </c>
      <c r="H65" s="263">
        <f t="shared" si="33"/>
        <v>0.6799054088501143</v>
      </c>
      <c r="I65" s="272">
        <f t="shared" si="37"/>
        <v>0.5399054088501143</v>
      </c>
      <c r="J65" s="145">
        <f t="shared" si="38"/>
        <v>6.385481709503861</v>
      </c>
      <c r="K65" s="68">
        <f t="shared" si="19"/>
        <v>0.09056280634105854</v>
      </c>
      <c r="L65" s="136">
        <f t="shared" si="43"/>
        <v>0.17056280634105855</v>
      </c>
      <c r="M65" s="141">
        <f t="shared" si="44"/>
        <v>0.022770963419007723</v>
      </c>
      <c r="N65" s="117">
        <f t="shared" si="39"/>
        <v>0.47072134929916987</v>
      </c>
      <c r="O65" s="115">
        <v>1</v>
      </c>
      <c r="P65" s="118">
        <v>33</v>
      </c>
      <c r="Q65" s="243">
        <f t="shared" si="34"/>
        <v>6.895112226149218</v>
      </c>
      <c r="R65" s="172">
        <f t="shared" si="45"/>
        <v>7.686604403478932</v>
      </c>
      <c r="S65" s="268"/>
      <c r="T65" s="176">
        <f t="shared" si="35"/>
        <v>0.0915978292887027</v>
      </c>
      <c r="U65" s="176">
        <f t="shared" si="36"/>
        <v>0.01562318281823034</v>
      </c>
      <c r="V65" s="62"/>
      <c r="W65" s="162"/>
    </row>
    <row r="66" spans="1:23" ht="15.75">
      <c r="A66" s="114" t="s">
        <v>24</v>
      </c>
      <c r="B66" s="114" t="s">
        <v>34</v>
      </c>
      <c r="C66" s="115">
        <v>81</v>
      </c>
      <c r="D66" s="116">
        <f t="shared" si="41"/>
        <v>880</v>
      </c>
      <c r="E66" s="68">
        <f t="shared" si="42"/>
        <v>0.1950681818181818</v>
      </c>
      <c r="F66" s="134">
        <f t="shared" si="17"/>
        <v>0.012288525421872382</v>
      </c>
      <c r="G66" s="185">
        <f t="shared" si="32"/>
        <v>0.01638470056249651</v>
      </c>
      <c r="H66" s="263">
        <f t="shared" si="33"/>
        <v>0.6799054088501144</v>
      </c>
      <c r="I66" s="272">
        <f t="shared" si="37"/>
        <v>0.5399054088501144</v>
      </c>
      <c r="J66" s="145">
        <f t="shared" si="38"/>
        <v>6.144262710936191</v>
      </c>
      <c r="K66" s="68">
        <f t="shared" si="19"/>
        <v>0.08524556548721852</v>
      </c>
      <c r="L66" s="136">
        <f t="shared" si="43"/>
        <v>0.16524556548721853</v>
      </c>
      <c r="M66" s="141">
        <f t="shared" si="44"/>
        <v>0.02228852542187238</v>
      </c>
      <c r="N66" s="117">
        <f t="shared" si="39"/>
        <v>0.49300987472104224</v>
      </c>
      <c r="O66" s="115">
        <v>1</v>
      </c>
      <c r="P66" s="118">
        <v>34</v>
      </c>
      <c r="Q66" s="243">
        <f t="shared" si="34"/>
        <v>6.634641342061033</v>
      </c>
      <c r="R66" s="239">
        <f>41/Q66</f>
        <v>6.179685967359837</v>
      </c>
      <c r="S66" s="269" t="s">
        <v>144</v>
      </c>
      <c r="T66" s="176">
        <f t="shared" si="35"/>
        <v>0.08934645196873778</v>
      </c>
      <c r="U66" s="176">
        <f t="shared" si="36"/>
        <v>0.014764104979850683</v>
      </c>
      <c r="V66" s="62"/>
      <c r="W66" s="162"/>
    </row>
    <row r="67" spans="1:23" ht="15.75">
      <c r="A67" s="114" t="s">
        <v>76</v>
      </c>
      <c r="B67" s="114" t="s">
        <v>35</v>
      </c>
      <c r="C67" s="115">
        <v>82</v>
      </c>
      <c r="D67" s="116">
        <f t="shared" si="41"/>
        <v>932.3275230361796</v>
      </c>
      <c r="E67" s="68">
        <f t="shared" si="42"/>
        <v>0.18411984603970402</v>
      </c>
      <c r="F67" s="134">
        <f t="shared" si="17"/>
        <v>0.011824312081205286</v>
      </c>
      <c r="G67" s="185">
        <f t="shared" si="32"/>
        <v>0.01576574944160705</v>
      </c>
      <c r="H67" s="263">
        <f t="shared" si="33"/>
        <v>0.679905408850114</v>
      </c>
      <c r="I67" s="272">
        <f t="shared" si="37"/>
        <v>0.539905408850114</v>
      </c>
      <c r="J67" s="145">
        <f t="shared" si="38"/>
        <v>5.9121560406026425</v>
      </c>
      <c r="K67" s="68">
        <f t="shared" si="19"/>
        <v>0.08023561093864673</v>
      </c>
      <c r="L67" s="136">
        <f t="shared" si="43"/>
        <v>0.16023561093864672</v>
      </c>
      <c r="M67" s="141">
        <f t="shared" si="44"/>
        <v>0.021824312081205284</v>
      </c>
      <c r="N67" s="117">
        <f t="shared" si="39"/>
        <v>0.5148341868022476</v>
      </c>
      <c r="O67" s="115">
        <v>1</v>
      </c>
      <c r="P67" s="118">
        <v>35</v>
      </c>
      <c r="Q67" s="243">
        <f t="shared" si="34"/>
        <v>6.384010048574482</v>
      </c>
      <c r="R67" s="239">
        <f aca="true" t="shared" si="46" ref="R67:R74">41/Q67</f>
        <v>6.422295655558233</v>
      </c>
      <c r="S67" s="267"/>
      <c r="T67" s="176">
        <f t="shared" si="35"/>
        <v>0.08718012304562466</v>
      </c>
      <c r="U67" s="176">
        <f t="shared" si="36"/>
        <v>0.01396936027792206</v>
      </c>
      <c r="V67" s="62"/>
      <c r="W67" s="162"/>
    </row>
    <row r="68" spans="1:23" ht="15.75">
      <c r="A68" s="114" t="s">
        <v>25</v>
      </c>
      <c r="B68" s="114" t="s">
        <v>36</v>
      </c>
      <c r="C68" s="115">
        <v>83</v>
      </c>
      <c r="D68" s="116">
        <f t="shared" si="41"/>
        <v>987.7666025122483</v>
      </c>
      <c r="E68" s="68">
        <f t="shared" si="42"/>
        <v>0.1737859931317848</v>
      </c>
      <c r="F68" s="134">
        <f t="shared" si="17"/>
        <v>0.011377634939411145</v>
      </c>
      <c r="G68" s="185">
        <f t="shared" si="32"/>
        <v>0.015170179919214861</v>
      </c>
      <c r="H68" s="263">
        <f t="shared" si="33"/>
        <v>0.6799054088501144</v>
      </c>
      <c r="I68" s="272">
        <f t="shared" si="37"/>
        <v>0.5399054088501144</v>
      </c>
      <c r="J68" s="145">
        <f t="shared" si="38"/>
        <v>5.6888174697055724</v>
      </c>
      <c r="K68" s="68">
        <f t="shared" si="19"/>
        <v>0.07551536162648126</v>
      </c>
      <c r="L68" s="136">
        <f t="shared" si="43"/>
        <v>0.15551536162648125</v>
      </c>
      <c r="M68" s="141">
        <f t="shared" si="44"/>
        <v>0.021377634939411146</v>
      </c>
      <c r="N68" s="117">
        <f t="shared" si="39"/>
        <v>0.5362118217416587</v>
      </c>
      <c r="O68" s="115">
        <v>1</v>
      </c>
      <c r="P68" s="118">
        <v>36</v>
      </c>
      <c r="Q68" s="243">
        <f t="shared" si="34"/>
        <v>6.142846643710121</v>
      </c>
      <c r="R68" s="239">
        <f t="shared" si="46"/>
        <v>6.674430012343114</v>
      </c>
      <c r="S68" s="239"/>
      <c r="T68" s="176">
        <f t="shared" si="35"/>
        <v>0.08509562971725201</v>
      </c>
      <c r="U68" s="176">
        <f t="shared" si="36"/>
        <v>0.013233677628311591</v>
      </c>
      <c r="V68" s="62"/>
      <c r="W68" s="162"/>
    </row>
    <row r="69" spans="1:23" ht="15.75">
      <c r="A69" s="114" t="s">
        <v>26</v>
      </c>
      <c r="B69" s="114" t="s">
        <v>101</v>
      </c>
      <c r="C69" s="115">
        <v>84</v>
      </c>
      <c r="D69" s="116">
        <f t="shared" si="41"/>
        <v>1046.5022612023945</v>
      </c>
      <c r="E69" s="68">
        <f t="shared" si="42"/>
        <v>0.1640321348209689</v>
      </c>
      <c r="F69" s="134">
        <f t="shared" si="17"/>
        <v>0.010947831546181078</v>
      </c>
      <c r="G69" s="185">
        <f t="shared" si="32"/>
        <v>0.014597108728241437</v>
      </c>
      <c r="H69" s="263">
        <f t="shared" si="33"/>
        <v>0.6799054088501145</v>
      </c>
      <c r="I69" s="272">
        <f t="shared" si="37"/>
        <v>0.5399054088501145</v>
      </c>
      <c r="J69" s="145">
        <f t="shared" si="38"/>
        <v>5.473915773090539</v>
      </c>
      <c r="K69" s="68">
        <f t="shared" si="19"/>
        <v>0.07106823586430337</v>
      </c>
      <c r="L69" s="136">
        <f t="shared" si="43"/>
        <v>0.15106823586430337</v>
      </c>
      <c r="M69" s="141">
        <f t="shared" si="44"/>
        <v>0.02094783154618108</v>
      </c>
      <c r="N69" s="117">
        <f t="shared" si="39"/>
        <v>0.5571596532878398</v>
      </c>
      <c r="O69" s="115">
        <v>1</v>
      </c>
      <c r="P69" s="118">
        <v>37</v>
      </c>
      <c r="Q69" s="243">
        <f t="shared" si="34"/>
        <v>5.910793466963076</v>
      </c>
      <c r="R69" s="239">
        <f t="shared" si="46"/>
        <v>6.9364629688314094</v>
      </c>
      <c r="S69" s="267"/>
      <c r="T69" s="176">
        <f t="shared" si="35"/>
        <v>0.08308988054884503</v>
      </c>
      <c r="U69" s="176">
        <f t="shared" si="36"/>
        <v>0.012552241672689713</v>
      </c>
      <c r="V69" s="62"/>
      <c r="W69" s="162"/>
    </row>
    <row r="70" spans="1:23" ht="15.75">
      <c r="A70" s="114" t="s">
        <v>77</v>
      </c>
      <c r="B70" s="114" t="s">
        <v>37</v>
      </c>
      <c r="C70" s="115">
        <v>85</v>
      </c>
      <c r="D70" s="116">
        <f>$A$11*POWER(2,(C70-69)/12)</f>
        <v>1108.7305239074883</v>
      </c>
      <c r="E70" s="68">
        <f>0.5*$B$11/D70</f>
        <v>0.15482571851185292</v>
      </c>
      <c r="F70" s="134">
        <f t="shared" si="17"/>
        <v>0.010534264476037117</v>
      </c>
      <c r="G70" s="185">
        <f t="shared" si="32"/>
        <v>0.01404568596804949</v>
      </c>
      <c r="H70" s="263">
        <f t="shared" si="33"/>
        <v>0.6799054088501144</v>
      </c>
      <c r="I70" s="272">
        <f t="shared" si="37"/>
        <v>0.5399054088501144</v>
      </c>
      <c r="J70" s="145">
        <f t="shared" si="38"/>
        <v>5.267132238018559</v>
      </c>
      <c r="K70" s="68">
        <f t="shared" si="19"/>
        <v>0.06687859477988935</v>
      </c>
      <c r="L70" s="136">
        <f t="shared" si="43"/>
        <v>0.14687859477988935</v>
      </c>
      <c r="M70" s="141">
        <f t="shared" si="44"/>
        <v>0.020534264476037116</v>
      </c>
      <c r="N70" s="117">
        <f t="shared" si="39"/>
        <v>0.5776939177638769</v>
      </c>
      <c r="O70" s="115">
        <v>1</v>
      </c>
      <c r="P70" s="118">
        <v>38</v>
      </c>
      <c r="Q70" s="243">
        <f t="shared" si="34"/>
        <v>5.687506368870056</v>
      </c>
      <c r="R70" s="239">
        <f t="shared" si="46"/>
        <v>7.208783136386275</v>
      </c>
      <c r="S70" s="239"/>
      <c r="T70" s="176">
        <f t="shared" si="35"/>
        <v>0.08115990088817321</v>
      </c>
      <c r="U70" s="176">
        <f t="shared" si="36"/>
        <v>0.011920652194929974</v>
      </c>
      <c r="V70" s="62"/>
      <c r="W70" s="162"/>
    </row>
    <row r="71" spans="1:23" ht="15.75">
      <c r="A71" s="114" t="s">
        <v>27</v>
      </c>
      <c r="B71" s="114" t="s">
        <v>38</v>
      </c>
      <c r="C71" s="115">
        <v>86</v>
      </c>
      <c r="D71" s="116">
        <f>$A$11*POWER(2,(C71-69)/12)</f>
        <v>1174.6590716696303</v>
      </c>
      <c r="E71" s="68">
        <f>0.5*$B$11/D71</f>
        <v>0.1461360186458245</v>
      </c>
      <c r="F71" s="134">
        <f t="shared" si="17"/>
        <v>0.010136320382990126</v>
      </c>
      <c r="G71" s="185">
        <f t="shared" si="32"/>
        <v>0.013515093843986836</v>
      </c>
      <c r="H71" s="263">
        <f t="shared" si="33"/>
        <v>0.6799054088501144</v>
      </c>
      <c r="I71" s="272">
        <f t="shared" si="37"/>
        <v>0.5399054088501144</v>
      </c>
      <c r="J71" s="145">
        <f t="shared" si="38"/>
        <v>5.068160191495063</v>
      </c>
      <c r="K71" s="68">
        <f t="shared" si="19"/>
        <v>0.06293168893992213</v>
      </c>
      <c r="L71" s="136">
        <f t="shared" si="43"/>
        <v>0.14293168893992214</v>
      </c>
      <c r="M71" s="141">
        <f t="shared" si="44"/>
        <v>0.020136320382990125</v>
      </c>
      <c r="N71" s="117">
        <f t="shared" si="39"/>
        <v>0.597830238146867</v>
      </c>
      <c r="O71" s="115">
        <v>1</v>
      </c>
      <c r="P71" s="118">
        <v>39</v>
      </c>
      <c r="Q71" s="243">
        <f t="shared" si="34"/>
        <v>5.472654200614032</v>
      </c>
      <c r="R71" s="239">
        <f t="shared" si="46"/>
        <v>7.491794382952206</v>
      </c>
      <c r="S71" s="239"/>
      <c r="T71" s="176">
        <f t="shared" si="35"/>
        <v>0.07930282845395392</v>
      </c>
      <c r="U71" s="176">
        <f t="shared" si="36"/>
        <v>0.011334887208636549</v>
      </c>
      <c r="V71" s="62"/>
      <c r="W71" s="162"/>
    </row>
    <row r="72" spans="1:23" ht="15.75">
      <c r="A72" s="114" t="s">
        <v>78</v>
      </c>
      <c r="B72" s="114" t="s">
        <v>39</v>
      </c>
      <c r="C72" s="115">
        <v>87</v>
      </c>
      <c r="D72" s="116">
        <f>$A$11*POWER(2,(C72-69)/12)</f>
        <v>1244.5079348883235</v>
      </c>
      <c r="E72" s="68">
        <f>0.5*$B$11/D72</f>
        <v>0.13793403415736677</v>
      </c>
      <c r="F72" s="134">
        <f t="shared" si="17"/>
        <v>0.00975340909090909</v>
      </c>
      <c r="G72" s="185">
        <f t="shared" si="32"/>
        <v>0.013004545454545454</v>
      </c>
      <c r="H72" s="263">
        <f t="shared" si="33"/>
        <v>0.6799054088501142</v>
      </c>
      <c r="I72" s="272">
        <f t="shared" si="37"/>
        <v>0.5399054088501142</v>
      </c>
      <c r="J72" s="145">
        <f t="shared" si="38"/>
        <v>4.876704545454545</v>
      </c>
      <c r="K72" s="68">
        <f t="shared" si="19"/>
        <v>0.059213607987774294</v>
      </c>
      <c r="L72" s="136">
        <f t="shared" si="43"/>
        <v>0.1392136079877743</v>
      </c>
      <c r="M72" s="141">
        <f t="shared" si="44"/>
        <v>0.019753409090909092</v>
      </c>
      <c r="N72" s="117">
        <f t="shared" si="39"/>
        <v>0.617583647237776</v>
      </c>
      <c r="O72" s="115">
        <v>1</v>
      </c>
      <c r="P72" s="118">
        <v>40</v>
      </c>
      <c r="Q72" s="243">
        <f t="shared" si="34"/>
        <v>5.265918322909693</v>
      </c>
      <c r="R72" s="239">
        <f t="shared" si="46"/>
        <v>7.785916432016624</v>
      </c>
      <c r="S72" s="239"/>
      <c r="T72" s="176">
        <f t="shared" si="35"/>
        <v>0.0775159090909091</v>
      </c>
      <c r="U72" s="176">
        <f t="shared" si="36"/>
        <v>0.010791269380997769</v>
      </c>
      <c r="V72" s="62"/>
      <c r="W72" s="162"/>
    </row>
    <row r="73" spans="1:23" ht="15.75">
      <c r="A73" s="114" t="s">
        <v>28</v>
      </c>
      <c r="B73" s="114" t="s">
        <v>40</v>
      </c>
      <c r="C73" s="115">
        <v>88</v>
      </c>
      <c r="D73" s="116">
        <f>$A$11*POWER(2,(C73-69)/12)</f>
        <v>1318.5102276514795</v>
      </c>
      <c r="E73" s="68">
        <f>0.5*$B$11/D73</f>
        <v>0.1301923916856978</v>
      </c>
      <c r="F73" s="134">
        <f t="shared" si="17"/>
        <v>0.009384962718252782</v>
      </c>
      <c r="G73" s="185">
        <f t="shared" si="32"/>
        <v>0.012513283624337042</v>
      </c>
      <c r="H73" s="263">
        <f t="shared" si="33"/>
        <v>0.6799054088501143</v>
      </c>
      <c r="I73" s="272">
        <f t="shared" si="37"/>
        <v>0.5399054088501143</v>
      </c>
      <c r="J73" s="145">
        <f t="shared" si="38"/>
        <v>4.692481359126391</v>
      </c>
      <c r="K73" s="68">
        <f t="shared" si="19"/>
        <v>0.05571123312459612</v>
      </c>
      <c r="L73" s="136">
        <f t="shared" si="43"/>
        <v>0.13571123312459613</v>
      </c>
      <c r="M73" s="141">
        <f t="shared" si="44"/>
        <v>0.019384962718252782</v>
      </c>
      <c r="N73" s="117">
        <f t="shared" si="39"/>
        <v>0.6369686099560288</v>
      </c>
      <c r="O73" s="115">
        <v>1</v>
      </c>
      <c r="P73" s="118">
        <v>41</v>
      </c>
      <c r="Q73" s="243">
        <f t="shared" si="34"/>
        <v>5.066992133441349</v>
      </c>
      <c r="R73" s="239">
        <f t="shared" si="46"/>
        <v>8.091585485086204</v>
      </c>
      <c r="S73" s="239"/>
      <c r="T73" s="176">
        <f t="shared" si="35"/>
        <v>0.07579649268517964</v>
      </c>
      <c r="U73" s="176">
        <f t="shared" si="36"/>
        <v>0.01028643548882516</v>
      </c>
      <c r="V73" s="62"/>
      <c r="W73" s="162"/>
    </row>
    <row r="74" spans="1:23" ht="15.75">
      <c r="A74" s="114" t="s">
        <v>96</v>
      </c>
      <c r="B74" s="114" t="s">
        <v>30</v>
      </c>
      <c r="C74" s="115">
        <v>89</v>
      </c>
      <c r="D74" s="116">
        <f>$A$11*POWER(2,(C74-69)/12)</f>
        <v>1396.9129257320155</v>
      </c>
      <c r="E74" s="68">
        <f>0.5*$B$11/D74</f>
        <v>0.12288525421872382</v>
      </c>
      <c r="F74" s="134">
        <f t="shared" si="17"/>
        <v>0.009030434835865696</v>
      </c>
      <c r="G74" s="185">
        <f t="shared" si="32"/>
        <v>0.012040579781154262</v>
      </c>
      <c r="H74" s="263">
        <f t="shared" si="33"/>
        <v>0.6799054088501143</v>
      </c>
      <c r="I74" s="272">
        <f t="shared" si="37"/>
        <v>0.5399054088501143</v>
      </c>
      <c r="J74" s="145">
        <f t="shared" si="38"/>
        <v>4.515217417932848</v>
      </c>
      <c r="K74" s="68">
        <f t="shared" si="19"/>
        <v>0.05241219227349621</v>
      </c>
      <c r="L74" s="136">
        <f t="shared" si="43"/>
        <v>0.1324121922734962</v>
      </c>
      <c r="M74" s="141">
        <f t="shared" si="44"/>
        <v>0.019030434835865695</v>
      </c>
      <c r="N74" s="179">
        <f t="shared" si="39"/>
        <v>0.6559990447918944</v>
      </c>
      <c r="O74" s="115">
        <v>1</v>
      </c>
      <c r="P74" s="118">
        <v>42</v>
      </c>
      <c r="Q74" s="243">
        <f t="shared" si="34"/>
        <v>4.875580612152383</v>
      </c>
      <c r="R74" s="239">
        <f t="shared" si="46"/>
        <v>8.40925486860119</v>
      </c>
      <c r="S74" s="239"/>
      <c r="T74" s="176">
        <f t="shared" si="35"/>
        <v>0.07414202923403991</v>
      </c>
      <c r="U74" s="176">
        <f t="shared" si="36"/>
        <v>0.00981730863048487</v>
      </c>
      <c r="V74" s="62"/>
      <c r="W74" s="162"/>
    </row>
    <row r="75" spans="13:21" ht="15.75">
      <c r="M75" s="90">
        <f>SUM(M49:M74)</f>
        <v>0.6559990447918944</v>
      </c>
      <c r="N75" s="108">
        <f>M75+(25*0.004)</f>
        <v>0.7559990447918944</v>
      </c>
      <c r="Q75" s="245">
        <f>SUM(Q32:Q74)</f>
        <v>501.68604818425894</v>
      </c>
      <c r="U75" s="177">
        <f>SUM(U49:U74)</f>
        <v>0.5850360602701727</v>
      </c>
    </row>
    <row r="76" spans="1:23" s="25" customFormat="1" ht="15.75">
      <c r="A76" s="29"/>
      <c r="B76" s="26"/>
      <c r="C76" s="281" t="s">
        <v>128</v>
      </c>
      <c r="D76" s="281"/>
      <c r="E76" s="281"/>
      <c r="F76" s="281"/>
      <c r="G76" s="26"/>
      <c r="H76" s="26"/>
      <c r="I76" s="27">
        <f>N75+N48+N31</f>
        <v>2.491144932551329</v>
      </c>
      <c r="J76" s="281" t="s">
        <v>127</v>
      </c>
      <c r="K76" s="294"/>
      <c r="L76" s="294"/>
      <c r="M76" s="294"/>
      <c r="N76" s="28">
        <f>U75+U48+U31</f>
        <v>6.210845626244672</v>
      </c>
      <c r="O76" s="26"/>
      <c r="P76" s="98"/>
      <c r="Q76" s="243"/>
      <c r="R76" s="163"/>
      <c r="S76" s="163"/>
      <c r="T76" s="173"/>
      <c r="U76" s="177"/>
      <c r="V76" s="159"/>
      <c r="W76" s="153"/>
    </row>
    <row r="77" spans="14:17" ht="15.75">
      <c r="N77" s="198"/>
      <c r="O77" s="195" t="s">
        <v>133</v>
      </c>
      <c r="P77" s="199"/>
      <c r="Q77" s="245">
        <f>Q34+Q37+Q32+Q44+Q46+Q49+Q50+Q51+Q52+Q54+Q55+Q56+Q57+Q58+Q59+Q60+Q61+Q62+Q63+Q64+Q65+Q66+Q67+Q68+Q69+Q71</f>
        <v>275.6813241364532</v>
      </c>
    </row>
    <row r="81" spans="12:13" ht="15.75">
      <c r="L81" s="98"/>
      <c r="M81" s="188"/>
    </row>
    <row r="82" spans="12:13" ht="15.75">
      <c r="L82" s="98"/>
      <c r="M82" s="188"/>
    </row>
    <row r="83" spans="12:19" ht="15.75">
      <c r="L83" s="98"/>
      <c r="M83" s="188"/>
      <c r="R83" s="98"/>
      <c r="S83" s="188"/>
    </row>
    <row r="84" spans="12:19" ht="15.75">
      <c r="L84" s="98"/>
      <c r="M84" s="188"/>
      <c r="R84" s="98"/>
      <c r="S84" s="188"/>
    </row>
    <row r="85" spans="12:19" ht="15.75">
      <c r="L85" s="98"/>
      <c r="M85" s="188"/>
      <c r="R85" s="98"/>
      <c r="S85" s="188"/>
    </row>
    <row r="86" spans="12:19" ht="15.75">
      <c r="L86" s="98"/>
      <c r="M86" s="188"/>
      <c r="R86" s="98"/>
      <c r="S86" s="188"/>
    </row>
    <row r="87" spans="12:19" ht="15.75">
      <c r="L87" s="98"/>
      <c r="M87" s="188"/>
      <c r="R87" s="98"/>
      <c r="S87" s="188"/>
    </row>
    <row r="88" spans="12:19" ht="15.75">
      <c r="L88" s="98"/>
      <c r="M88" s="188"/>
      <c r="R88" s="98"/>
      <c r="S88" s="188"/>
    </row>
    <row r="89" spans="12:19" ht="15.75">
      <c r="L89" s="98"/>
      <c r="M89" s="188"/>
      <c r="R89" s="98"/>
      <c r="S89" s="188"/>
    </row>
    <row r="90" spans="12:19" ht="15.75">
      <c r="L90" s="98"/>
      <c r="M90" s="188"/>
      <c r="R90" s="98"/>
      <c r="S90" s="188"/>
    </row>
    <row r="91" spans="12:19" ht="15.75">
      <c r="L91" s="98"/>
      <c r="M91" s="188"/>
      <c r="R91" s="98"/>
      <c r="S91" s="188"/>
    </row>
    <row r="92" spans="12:19" ht="15.75">
      <c r="L92" s="98"/>
      <c r="M92" s="188"/>
      <c r="R92" s="98"/>
      <c r="S92" s="188"/>
    </row>
    <row r="93" spans="12:19" ht="15.75">
      <c r="L93" s="98"/>
      <c r="M93" s="188"/>
      <c r="R93" s="98"/>
      <c r="S93" s="188"/>
    </row>
    <row r="94" spans="12:19" ht="15.75">
      <c r="L94" s="98"/>
      <c r="M94" s="188"/>
      <c r="R94" s="98"/>
      <c r="S94" s="188"/>
    </row>
    <row r="95" spans="12:19" ht="15.75">
      <c r="L95" s="98"/>
      <c r="M95" s="188"/>
      <c r="R95" s="98"/>
      <c r="S95" s="188"/>
    </row>
    <row r="96" spans="12:19" ht="15.75">
      <c r="L96" s="98"/>
      <c r="M96" s="188"/>
      <c r="R96" s="98"/>
      <c r="S96" s="188"/>
    </row>
    <row r="97" spans="12:19" ht="15.75">
      <c r="L97" s="98"/>
      <c r="M97" s="188"/>
      <c r="R97" s="98"/>
      <c r="S97" s="188"/>
    </row>
    <row r="98" spans="12:19" ht="15.75">
      <c r="L98" s="98"/>
      <c r="M98" s="188"/>
      <c r="R98" s="98"/>
      <c r="S98" s="188"/>
    </row>
    <row r="99" spans="12:19" ht="15.75">
      <c r="L99" s="98"/>
      <c r="M99" s="188"/>
      <c r="R99" s="98"/>
      <c r="S99" s="188"/>
    </row>
    <row r="100" spans="12:19" ht="15.75">
      <c r="L100" s="98"/>
      <c r="M100" s="188"/>
      <c r="R100" s="98"/>
      <c r="S100" s="188"/>
    </row>
    <row r="101" spans="12:19" ht="15.75">
      <c r="L101" s="98"/>
      <c r="M101" s="188"/>
      <c r="R101" s="98"/>
      <c r="S101" s="188"/>
    </row>
    <row r="102" spans="12:19" ht="15.75">
      <c r="L102" s="98"/>
      <c r="M102" s="188"/>
      <c r="R102" s="98"/>
      <c r="S102" s="188"/>
    </row>
    <row r="103" spans="18:19" ht="15.75">
      <c r="R103" s="98"/>
      <c r="S103" s="188"/>
    </row>
    <row r="104" spans="18:19" ht="15.75">
      <c r="R104" s="98"/>
      <c r="S104" s="188"/>
    </row>
  </sheetData>
  <mergeCells count="15">
    <mergeCell ref="A1:Q1"/>
    <mergeCell ref="C76:F76"/>
    <mergeCell ref="K14:L14"/>
    <mergeCell ref="A17:B17"/>
    <mergeCell ref="I10:J10"/>
    <mergeCell ref="I11:J11"/>
    <mergeCell ref="A16:B16"/>
    <mergeCell ref="A4:B4"/>
    <mergeCell ref="A15:B15"/>
    <mergeCell ref="J76:M76"/>
    <mergeCell ref="H14:I14"/>
    <mergeCell ref="A14:B14"/>
    <mergeCell ref="A5:B5"/>
    <mergeCell ref="A6:B6"/>
    <mergeCell ref="A7:B7"/>
  </mergeCells>
  <printOptions gridLines="1"/>
  <pageMargins left="0.2" right="0.16" top="0.46" bottom="0.41" header="0.28" footer="0.17"/>
  <pageSetup fitToHeight="1" fitToWidth="1" horizontalDpi="600" verticalDpi="600" orientation="portrait" paperSize="9" scale="5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5">
      <selection activeCell="E38" sqref="E38"/>
    </sheetView>
  </sheetViews>
  <sheetFormatPr defaultColWidth="11.421875" defaultRowHeight="12.75"/>
  <cols>
    <col min="1" max="1" width="5.28125" style="0" customWidth="1"/>
    <col min="2" max="2" width="5.421875" style="0" customWidth="1"/>
    <col min="3" max="3" width="8.8515625" style="0" customWidth="1"/>
    <col min="4" max="4" width="10.00390625" style="0" customWidth="1"/>
    <col min="5" max="6" width="10.28125" style="187" customWidth="1"/>
    <col min="7" max="7" width="9.00390625" style="0" customWidth="1"/>
    <col min="8" max="8" width="10.57421875" style="0" customWidth="1"/>
    <col min="9" max="9" width="9.57421875" style="0" customWidth="1"/>
    <col min="10" max="10" width="9.7109375" style="0" customWidth="1"/>
    <col min="11" max="11" width="7.8515625" style="182" customWidth="1"/>
    <col min="12" max="12" width="7.140625" style="0" customWidth="1"/>
    <col min="13" max="13" width="11.140625" style="0" customWidth="1"/>
    <col min="14" max="14" width="10.57421875" style="182" customWidth="1"/>
    <col min="15" max="15" width="10.00390625" style="0" customWidth="1"/>
    <col min="16" max="16" width="11.8515625" style="0" customWidth="1"/>
  </cols>
  <sheetData>
    <row r="1" spans="2:10" ht="12.75">
      <c r="B1" s="19"/>
      <c r="C1" s="19"/>
      <c r="D1" s="19"/>
      <c r="E1" s="182"/>
      <c r="F1" s="182"/>
      <c r="G1" s="160"/>
      <c r="H1" s="160"/>
      <c r="I1" s="19"/>
      <c r="J1" s="19"/>
    </row>
    <row r="2" spans="2:10" ht="12.75">
      <c r="B2" s="19"/>
      <c r="C2" s="19"/>
      <c r="D2" s="19"/>
      <c r="E2" s="182"/>
      <c r="F2" s="182"/>
      <c r="G2" s="160"/>
      <c r="H2" s="160"/>
      <c r="I2" s="19"/>
      <c r="J2" s="19"/>
    </row>
    <row r="3" spans="1:14" ht="18">
      <c r="A3" s="295" t="s">
        <v>163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</row>
    <row r="5" spans="2:14" ht="12.75">
      <c r="B5" s="19"/>
      <c r="C5" s="213" t="s">
        <v>117</v>
      </c>
      <c r="D5" s="186" t="s">
        <v>118</v>
      </c>
      <c r="E5" s="205" t="s">
        <v>118</v>
      </c>
      <c r="F5" s="213" t="s">
        <v>129</v>
      </c>
      <c r="G5" s="193" t="s">
        <v>129</v>
      </c>
      <c r="H5" s="19"/>
      <c r="I5" s="19"/>
      <c r="J5" s="182"/>
      <c r="K5"/>
      <c r="N5"/>
    </row>
    <row r="6" spans="1:14" ht="12.75">
      <c r="A6" s="19" t="s">
        <v>115</v>
      </c>
      <c r="B6" s="256" t="s">
        <v>116</v>
      </c>
      <c r="C6" s="195" t="s">
        <v>147</v>
      </c>
      <c r="D6" s="186" t="s">
        <v>147</v>
      </c>
      <c r="E6" s="205" t="s">
        <v>110</v>
      </c>
      <c r="F6" s="195" t="s">
        <v>147</v>
      </c>
      <c r="G6" s="194" t="s">
        <v>146</v>
      </c>
      <c r="H6" s="19" t="s">
        <v>119</v>
      </c>
      <c r="I6" s="19" t="s">
        <v>121</v>
      </c>
      <c r="J6" s="186" t="s">
        <v>138</v>
      </c>
      <c r="K6" s="19" t="s">
        <v>79</v>
      </c>
      <c r="L6" s="19" t="s">
        <v>122</v>
      </c>
      <c r="M6" s="19" t="s">
        <v>140</v>
      </c>
      <c r="N6" s="190" t="s">
        <v>130</v>
      </c>
    </row>
    <row r="7" spans="1:14" ht="12.75">
      <c r="A7" s="19" t="s">
        <v>136</v>
      </c>
      <c r="B7" s="256" t="s">
        <v>137</v>
      </c>
      <c r="C7" s="210"/>
      <c r="D7" s="247"/>
      <c r="E7" s="206"/>
      <c r="F7" s="210"/>
      <c r="G7" s="191"/>
      <c r="H7" s="19" t="s">
        <v>142</v>
      </c>
      <c r="I7" s="19" t="s">
        <v>143</v>
      </c>
      <c r="J7" s="186" t="s">
        <v>139</v>
      </c>
      <c r="K7" s="19"/>
      <c r="L7" s="19" t="s">
        <v>135</v>
      </c>
      <c r="M7" s="196" t="s">
        <v>103</v>
      </c>
      <c r="N7" s="19" t="s">
        <v>134</v>
      </c>
    </row>
    <row r="8" spans="2:14" ht="12.75">
      <c r="B8" s="257"/>
      <c r="C8" s="210"/>
      <c r="D8" s="247"/>
      <c r="E8" s="206"/>
      <c r="F8" s="210"/>
      <c r="G8" s="191"/>
      <c r="J8" s="182" t="s">
        <v>148</v>
      </c>
      <c r="K8" s="19"/>
      <c r="M8" s="197"/>
      <c r="N8" s="190"/>
    </row>
    <row r="9" spans="1:14" ht="12.75">
      <c r="A9" s="200">
        <v>26</v>
      </c>
      <c r="B9" s="258">
        <v>28</v>
      </c>
      <c r="C9" s="214">
        <f>SQRT((A9*A9)+(B9*B9))</f>
        <v>38.2099463490856</v>
      </c>
      <c r="D9" s="251">
        <f>C9*2.1-B9</f>
        <v>52.240887333079755</v>
      </c>
      <c r="E9" s="207"/>
      <c r="F9" s="251">
        <f>2*D9-C9</f>
        <v>66.27182831707391</v>
      </c>
      <c r="G9" s="201"/>
      <c r="H9" s="200">
        <v>2.5</v>
      </c>
      <c r="I9" s="200">
        <v>8</v>
      </c>
      <c r="J9" s="202">
        <f>A9*A9*3.14/4</f>
        <v>530.66</v>
      </c>
      <c r="K9" s="203"/>
      <c r="L9" s="208"/>
      <c r="M9" s="204">
        <f>(A9*A9)/(4*B9)</f>
        <v>6.035714285714286</v>
      </c>
      <c r="N9" s="202">
        <f>L9*(G9*G9/100)</f>
        <v>0</v>
      </c>
    </row>
    <row r="10" spans="1:14" ht="12.75">
      <c r="A10" s="200">
        <v>24</v>
      </c>
      <c r="B10" s="258">
        <v>26</v>
      </c>
      <c r="C10" s="214">
        <f>SQRT((A10*A10)+(B10*B10))</f>
        <v>35.38361202590826</v>
      </c>
      <c r="D10" s="251">
        <f aca="true" t="shared" si="0" ref="D10:D27">C10*2.1-B10</f>
        <v>48.30558525440736</v>
      </c>
      <c r="E10" s="207"/>
      <c r="F10" s="251">
        <f aca="true" t="shared" si="1" ref="F10:F27">2*D10-C10</f>
        <v>61.22755848290646</v>
      </c>
      <c r="G10" s="201"/>
      <c r="H10" s="200">
        <v>2.5</v>
      </c>
      <c r="I10" s="200">
        <v>8</v>
      </c>
      <c r="J10" s="202">
        <f aca="true" t="shared" si="2" ref="J10:J27">A10*A10*3.14/4</f>
        <v>452.16</v>
      </c>
      <c r="K10" s="203"/>
      <c r="L10" s="208"/>
      <c r="M10" s="204">
        <f aca="true" t="shared" si="3" ref="M10:M27">(A10*A10)/(4*B10)</f>
        <v>5.538461538461538</v>
      </c>
      <c r="N10" s="202">
        <f>L10*(G10*G10/100)</f>
        <v>0</v>
      </c>
    </row>
    <row r="11" spans="1:14" ht="12.75">
      <c r="A11" s="200">
        <v>22</v>
      </c>
      <c r="B11" s="258">
        <v>24</v>
      </c>
      <c r="C11" s="214">
        <f>SQRT((A11*A11)+(B11*B11))</f>
        <v>32.55764119219941</v>
      </c>
      <c r="D11" s="251">
        <f t="shared" si="0"/>
        <v>44.37104650361877</v>
      </c>
      <c r="E11" s="207"/>
      <c r="F11" s="251">
        <f t="shared" si="1"/>
        <v>56.18445181503813</v>
      </c>
      <c r="G11" s="201"/>
      <c r="H11" s="229">
        <v>2</v>
      </c>
      <c r="I11" s="229">
        <v>7</v>
      </c>
      <c r="J11" s="202">
        <f t="shared" si="2"/>
        <v>379.94</v>
      </c>
      <c r="K11" s="203"/>
      <c r="L11" s="208"/>
      <c r="M11" s="204">
        <f t="shared" si="3"/>
        <v>5.041666666666667</v>
      </c>
      <c r="N11" s="202">
        <f>L11*(G11*G11/100)</f>
        <v>0</v>
      </c>
    </row>
    <row r="12" spans="1:14" ht="12.75">
      <c r="A12" s="200">
        <v>20</v>
      </c>
      <c r="B12" s="258">
        <v>22</v>
      </c>
      <c r="C12" s="214">
        <f>SQRT((A12*A12)+(B12*B12))</f>
        <v>29.732137494637012</v>
      </c>
      <c r="D12" s="251">
        <f t="shared" si="0"/>
        <v>40.43748873873773</v>
      </c>
      <c r="E12" s="207"/>
      <c r="F12" s="251">
        <f t="shared" si="1"/>
        <v>51.14283998283844</v>
      </c>
      <c r="G12" s="201"/>
      <c r="H12" s="229">
        <v>2</v>
      </c>
      <c r="I12" s="229">
        <v>7</v>
      </c>
      <c r="J12" s="202">
        <f t="shared" si="2"/>
        <v>314</v>
      </c>
      <c r="K12" s="203"/>
      <c r="L12" s="203"/>
      <c r="M12" s="204">
        <f t="shared" si="3"/>
        <v>4.545454545454546</v>
      </c>
      <c r="N12" s="202">
        <f>L12*(G12*G12/100)</f>
        <v>0</v>
      </c>
    </row>
    <row r="13" spans="1:16" s="30" customFormat="1" ht="12.75">
      <c r="A13" s="229">
        <v>19.2</v>
      </c>
      <c r="B13" s="259">
        <v>20</v>
      </c>
      <c r="C13" s="232">
        <f aca="true" t="shared" si="4" ref="C13:C27">SQRT((A13*A13)+(B13*B13))</f>
        <v>27.72435752186153</v>
      </c>
      <c r="D13" s="251">
        <f t="shared" si="0"/>
        <v>38.22115079590922</v>
      </c>
      <c r="E13" s="207"/>
      <c r="F13" s="251">
        <f t="shared" si="1"/>
        <v>48.7179440699569</v>
      </c>
      <c r="G13" s="233"/>
      <c r="H13" s="229">
        <v>2</v>
      </c>
      <c r="I13" s="229">
        <v>7</v>
      </c>
      <c r="J13" s="202">
        <f t="shared" si="2"/>
        <v>289.3824</v>
      </c>
      <c r="K13" s="230"/>
      <c r="L13" s="231"/>
      <c r="M13" s="204">
        <f t="shared" si="3"/>
        <v>4.608</v>
      </c>
      <c r="N13" s="202">
        <f aca="true" t="shared" si="5" ref="N13:N27">L13*(G13*G13/100)</f>
        <v>0</v>
      </c>
      <c r="O13"/>
      <c r="P13"/>
    </row>
    <row r="14" spans="1:16" s="30" customFormat="1" ht="12.75">
      <c r="A14" s="229">
        <v>18.2</v>
      </c>
      <c r="B14" s="259">
        <v>19</v>
      </c>
      <c r="C14" s="214">
        <f>SQRT((A14*A14)+(B14*B14))</f>
        <v>26.310454196003533</v>
      </c>
      <c r="D14" s="251">
        <f t="shared" si="0"/>
        <v>36.25195381160742</v>
      </c>
      <c r="E14" s="207"/>
      <c r="F14" s="251">
        <f t="shared" si="1"/>
        <v>46.19345342721131</v>
      </c>
      <c r="G14" s="201"/>
      <c r="H14" s="200">
        <v>1.8</v>
      </c>
      <c r="I14" s="200">
        <v>5</v>
      </c>
      <c r="J14" s="202">
        <f t="shared" si="2"/>
        <v>260.0234</v>
      </c>
      <c r="K14" s="230"/>
      <c r="L14" s="231"/>
      <c r="M14" s="204">
        <f t="shared" si="3"/>
        <v>4.358421052631578</v>
      </c>
      <c r="N14" s="202">
        <f t="shared" si="5"/>
        <v>0</v>
      </c>
      <c r="O14"/>
      <c r="P14"/>
    </row>
    <row r="15" spans="1:16" s="30" customFormat="1" ht="12.75">
      <c r="A15" s="229">
        <v>17.2</v>
      </c>
      <c r="B15" s="259">
        <v>18</v>
      </c>
      <c r="C15" s="214">
        <f>SQRT((A15*A15)+(B15*B15))</f>
        <v>24.896586111352697</v>
      </c>
      <c r="D15" s="251">
        <f t="shared" si="0"/>
        <v>34.28283083384066</v>
      </c>
      <c r="E15" s="207">
        <v>50</v>
      </c>
      <c r="F15" s="251">
        <f t="shared" si="1"/>
        <v>43.66907555632863</v>
      </c>
      <c r="G15" s="201">
        <v>76</v>
      </c>
      <c r="H15" s="200">
        <v>1.8</v>
      </c>
      <c r="I15" s="200">
        <v>5</v>
      </c>
      <c r="J15" s="202">
        <f t="shared" si="2"/>
        <v>232.2344</v>
      </c>
      <c r="K15" s="203" t="s">
        <v>151</v>
      </c>
      <c r="L15" s="208">
        <v>5</v>
      </c>
      <c r="M15" s="204">
        <f t="shared" si="3"/>
        <v>4.108888888888888</v>
      </c>
      <c r="N15" s="202">
        <f>L15*(G15*G15/100)</f>
        <v>288.8</v>
      </c>
      <c r="O15"/>
      <c r="P15"/>
    </row>
    <row r="16" spans="1:14" ht="12.75">
      <c r="A16" s="200">
        <v>16.2</v>
      </c>
      <c r="B16" s="258">
        <v>17</v>
      </c>
      <c r="C16" s="214">
        <f t="shared" si="4"/>
        <v>23.482759633399137</v>
      </c>
      <c r="D16" s="251">
        <f t="shared" si="0"/>
        <v>32.31379523013819</v>
      </c>
      <c r="E16" s="207"/>
      <c r="F16" s="251">
        <f t="shared" si="1"/>
        <v>41.14483082687724</v>
      </c>
      <c r="G16" s="201"/>
      <c r="H16" s="200">
        <v>1.8</v>
      </c>
      <c r="I16" s="200">
        <v>5</v>
      </c>
      <c r="J16" s="202">
        <f t="shared" si="2"/>
        <v>206.0154</v>
      </c>
      <c r="K16" s="203"/>
      <c r="L16" s="208"/>
      <c r="M16" s="204">
        <f t="shared" si="3"/>
        <v>3.8594117647058823</v>
      </c>
      <c r="N16" s="202">
        <f t="shared" si="5"/>
        <v>0</v>
      </c>
    </row>
    <row r="17" spans="1:14" ht="12.75">
      <c r="A17" s="200">
        <v>15.2</v>
      </c>
      <c r="B17" s="258">
        <v>16</v>
      </c>
      <c r="C17" s="214">
        <f>SQRT((A17*A17)+(B17*B17))</f>
        <v>22.068982758613952</v>
      </c>
      <c r="D17" s="251">
        <f t="shared" si="0"/>
        <v>30.344863793089303</v>
      </c>
      <c r="E17" s="207">
        <f>(G17+C17)/2</f>
        <v>44.03449137930698</v>
      </c>
      <c r="F17" s="251">
        <f t="shared" si="1"/>
        <v>38.62074482756465</v>
      </c>
      <c r="G17" s="201">
        <v>66</v>
      </c>
      <c r="H17" s="200">
        <v>1.5</v>
      </c>
      <c r="I17" s="200">
        <v>5</v>
      </c>
      <c r="J17" s="202">
        <f t="shared" si="2"/>
        <v>181.3664</v>
      </c>
      <c r="K17" s="203" t="s">
        <v>152</v>
      </c>
      <c r="L17" s="208">
        <v>7</v>
      </c>
      <c r="M17" s="204">
        <f t="shared" si="3"/>
        <v>3.61</v>
      </c>
      <c r="N17" s="202">
        <f>L17*(G17*G17/100)</f>
        <v>304.92</v>
      </c>
    </row>
    <row r="18" spans="1:16" s="228" customFormat="1" ht="12.75">
      <c r="A18" s="200">
        <v>14.2</v>
      </c>
      <c r="B18" s="258">
        <v>15</v>
      </c>
      <c r="C18" s="214">
        <f>SQRT((A18*A18)+(B18*B18))</f>
        <v>20.655265672462313</v>
      </c>
      <c r="D18" s="251">
        <f t="shared" si="0"/>
        <v>28.376057912170857</v>
      </c>
      <c r="E18" s="207"/>
      <c r="F18" s="251">
        <f t="shared" si="1"/>
        <v>36.0968501518794</v>
      </c>
      <c r="G18" s="201"/>
      <c r="H18" s="200">
        <v>1.5</v>
      </c>
      <c r="I18" s="200">
        <v>5</v>
      </c>
      <c r="J18" s="202">
        <f t="shared" si="2"/>
        <v>158.2874</v>
      </c>
      <c r="K18" s="203"/>
      <c r="L18" s="208"/>
      <c r="M18" s="204">
        <f t="shared" si="3"/>
        <v>3.3606666666666665</v>
      </c>
      <c r="N18" s="202">
        <f t="shared" si="5"/>
        <v>0</v>
      </c>
      <c r="O18"/>
      <c r="P18"/>
    </row>
    <row r="19" spans="1:16" s="228" customFormat="1" ht="12.75">
      <c r="A19" s="200">
        <v>13.2</v>
      </c>
      <c r="B19" s="258">
        <v>14</v>
      </c>
      <c r="C19" s="214">
        <f>SQRT((A19*A19)+(B19*B19))</f>
        <v>19.24162155328911</v>
      </c>
      <c r="D19" s="251">
        <f t="shared" si="0"/>
        <v>26.407405261907137</v>
      </c>
      <c r="E19" s="207"/>
      <c r="F19" s="251">
        <f t="shared" si="1"/>
        <v>33.573188970525166</v>
      </c>
      <c r="G19" s="201"/>
      <c r="H19" s="200">
        <v>1.5</v>
      </c>
      <c r="I19" s="200">
        <v>5</v>
      </c>
      <c r="J19" s="202">
        <f t="shared" si="2"/>
        <v>136.77839999999998</v>
      </c>
      <c r="K19" s="203"/>
      <c r="L19" s="208"/>
      <c r="M19" s="204">
        <f t="shared" si="3"/>
        <v>3.111428571428571</v>
      </c>
      <c r="N19" s="202"/>
      <c r="O19"/>
      <c r="P19"/>
    </row>
    <row r="20" spans="1:14" ht="12.75">
      <c r="A20" s="229">
        <v>12.2</v>
      </c>
      <c r="B20" s="259">
        <v>13</v>
      </c>
      <c r="C20" s="232">
        <f t="shared" si="4"/>
        <v>17.82806775845324</v>
      </c>
      <c r="D20" s="251">
        <f t="shared" si="0"/>
        <v>24.438942292751804</v>
      </c>
      <c r="E20" s="207"/>
      <c r="F20" s="251">
        <f t="shared" si="1"/>
        <v>31.049816827050368</v>
      </c>
      <c r="G20" s="233"/>
      <c r="H20" s="229">
        <v>1.5</v>
      </c>
      <c r="I20" s="229">
        <v>5</v>
      </c>
      <c r="J20" s="202">
        <f t="shared" si="2"/>
        <v>116.83939999999998</v>
      </c>
      <c r="K20" s="230"/>
      <c r="L20" s="231"/>
      <c r="M20" s="204">
        <f t="shared" si="3"/>
        <v>2.862307692307692</v>
      </c>
      <c r="N20" s="202">
        <f t="shared" si="5"/>
        <v>0</v>
      </c>
    </row>
    <row r="21" spans="1:16" s="227" customFormat="1" ht="12.75">
      <c r="A21" s="229">
        <v>11.2</v>
      </c>
      <c r="B21" s="259">
        <v>12</v>
      </c>
      <c r="C21" s="214">
        <f>SQRT((A21*A21)+(B21*B21))</f>
        <v>16.414627622946554</v>
      </c>
      <c r="D21" s="251">
        <f t="shared" si="0"/>
        <v>22.470718008187767</v>
      </c>
      <c r="E21" s="207">
        <v>30</v>
      </c>
      <c r="F21" s="251">
        <f t="shared" si="1"/>
        <v>28.52680839342898</v>
      </c>
      <c r="G21" s="201">
        <v>46</v>
      </c>
      <c r="H21" s="200">
        <v>1.5</v>
      </c>
      <c r="I21" s="200">
        <v>5</v>
      </c>
      <c r="J21" s="202">
        <f t="shared" si="2"/>
        <v>98.4704</v>
      </c>
      <c r="K21" s="230" t="s">
        <v>153</v>
      </c>
      <c r="L21" s="231">
        <v>8</v>
      </c>
      <c r="M21" s="204">
        <f t="shared" si="3"/>
        <v>2.613333333333333</v>
      </c>
      <c r="N21" s="202">
        <f t="shared" si="5"/>
        <v>169.28</v>
      </c>
      <c r="O21"/>
      <c r="P21"/>
    </row>
    <row r="22" spans="1:14" ht="12.75">
      <c r="A22" s="200">
        <v>10.2</v>
      </c>
      <c r="B22" s="258">
        <v>11</v>
      </c>
      <c r="C22" s="214">
        <f t="shared" si="4"/>
        <v>15.001333274079341</v>
      </c>
      <c r="D22" s="251">
        <f t="shared" si="0"/>
        <v>20.50279987556662</v>
      </c>
      <c r="E22" s="207"/>
      <c r="F22" s="251">
        <f t="shared" si="1"/>
        <v>26.004266477053896</v>
      </c>
      <c r="G22" s="201"/>
      <c r="H22" s="200">
        <v>1.5</v>
      </c>
      <c r="I22" s="200">
        <v>5</v>
      </c>
      <c r="J22" s="202">
        <f t="shared" si="2"/>
        <v>81.67139999999999</v>
      </c>
      <c r="K22" s="203"/>
      <c r="L22" s="208"/>
      <c r="M22" s="204">
        <f t="shared" si="3"/>
        <v>2.3645454545454543</v>
      </c>
      <c r="N22" s="202">
        <f t="shared" si="5"/>
        <v>0</v>
      </c>
    </row>
    <row r="23" spans="1:14" ht="12.75">
      <c r="A23" s="200">
        <v>9.2</v>
      </c>
      <c r="B23" s="258">
        <v>10</v>
      </c>
      <c r="C23" s="214">
        <f t="shared" si="4"/>
        <v>13.588230201170422</v>
      </c>
      <c r="D23" s="251">
        <f t="shared" si="0"/>
        <v>18.535283422457887</v>
      </c>
      <c r="E23" s="207">
        <f>(G23+C23)/2</f>
        <v>25.79411510058521</v>
      </c>
      <c r="F23" s="251">
        <f t="shared" si="1"/>
        <v>23.482336643745352</v>
      </c>
      <c r="G23" s="201">
        <v>38</v>
      </c>
      <c r="H23" s="200">
        <v>1.5</v>
      </c>
      <c r="I23" s="200">
        <v>5</v>
      </c>
      <c r="J23" s="202">
        <f t="shared" si="2"/>
        <v>66.44239999999999</v>
      </c>
      <c r="K23" s="203" t="s">
        <v>154</v>
      </c>
      <c r="L23" s="208">
        <v>8</v>
      </c>
      <c r="M23" s="204">
        <f t="shared" si="3"/>
        <v>2.1159999999999997</v>
      </c>
      <c r="N23" s="202">
        <f t="shared" si="5"/>
        <v>115.52</v>
      </c>
    </row>
    <row r="24" spans="1:14" ht="12.75">
      <c r="A24" s="200">
        <v>8.2</v>
      </c>
      <c r="B24" s="258">
        <v>9</v>
      </c>
      <c r="C24" s="214">
        <f t="shared" si="4"/>
        <v>12.175385004179539</v>
      </c>
      <c r="D24" s="251">
        <f t="shared" si="0"/>
        <v>16.568308508777033</v>
      </c>
      <c r="E24" s="207"/>
      <c r="F24" s="251">
        <f t="shared" si="1"/>
        <v>20.961232013374527</v>
      </c>
      <c r="G24" s="201"/>
      <c r="H24" s="200">
        <v>1.5</v>
      </c>
      <c r="I24" s="200">
        <v>5</v>
      </c>
      <c r="J24" s="202">
        <f t="shared" si="2"/>
        <v>52.7834</v>
      </c>
      <c r="K24" s="203"/>
      <c r="L24" s="208"/>
      <c r="M24" s="204">
        <f t="shared" si="3"/>
        <v>1.8677777777777775</v>
      </c>
      <c r="N24" s="202">
        <f t="shared" si="5"/>
        <v>0</v>
      </c>
    </row>
    <row r="25" spans="1:16" s="226" customFormat="1" ht="12.75">
      <c r="A25" s="200">
        <v>7.2</v>
      </c>
      <c r="B25" s="258">
        <v>8</v>
      </c>
      <c r="C25" s="214">
        <f>SQRT((A25*A25)+(B25*B25))</f>
        <v>10.762899237658969</v>
      </c>
      <c r="D25" s="251">
        <f t="shared" si="0"/>
        <v>14.602088399083836</v>
      </c>
      <c r="E25" s="207">
        <v>20</v>
      </c>
      <c r="F25" s="251">
        <f t="shared" si="1"/>
        <v>18.441277560508702</v>
      </c>
      <c r="G25" s="201">
        <v>28</v>
      </c>
      <c r="H25" s="200">
        <v>1.5</v>
      </c>
      <c r="I25" s="200">
        <v>5</v>
      </c>
      <c r="J25" s="202">
        <f t="shared" si="2"/>
        <v>40.6944</v>
      </c>
      <c r="K25" s="203" t="s">
        <v>155</v>
      </c>
      <c r="L25" s="208">
        <v>9</v>
      </c>
      <c r="M25" s="204">
        <f t="shared" si="3"/>
        <v>1.62</v>
      </c>
      <c r="N25" s="202">
        <f t="shared" si="5"/>
        <v>70.56</v>
      </c>
      <c r="O25"/>
      <c r="P25"/>
    </row>
    <row r="26" spans="1:14" ht="12.75">
      <c r="A26" s="200">
        <v>6.2</v>
      </c>
      <c r="B26" s="258">
        <v>7</v>
      </c>
      <c r="C26" s="214">
        <f>SQRT((A26*A26)+(B26*B26))</f>
        <v>9.350935782048767</v>
      </c>
      <c r="D26" s="251">
        <f t="shared" si="0"/>
        <v>12.636965142302412</v>
      </c>
      <c r="E26" s="207">
        <v>18</v>
      </c>
      <c r="F26" s="251">
        <f t="shared" si="1"/>
        <v>15.922994502556056</v>
      </c>
      <c r="G26" s="201">
        <v>24</v>
      </c>
      <c r="H26" s="200">
        <v>1.5</v>
      </c>
      <c r="I26" s="200">
        <v>5</v>
      </c>
      <c r="J26" s="202">
        <f t="shared" si="2"/>
        <v>30.175400000000003</v>
      </c>
      <c r="K26" s="203" t="s">
        <v>156</v>
      </c>
      <c r="L26" s="208">
        <v>8</v>
      </c>
      <c r="M26" s="204">
        <f t="shared" si="3"/>
        <v>1.372857142857143</v>
      </c>
      <c r="N26" s="202">
        <f t="shared" si="5"/>
        <v>46.08</v>
      </c>
    </row>
    <row r="27" spans="1:14" ht="12.75">
      <c r="A27" s="200">
        <v>5.2</v>
      </c>
      <c r="B27" s="258">
        <v>6</v>
      </c>
      <c r="C27" s="214">
        <f t="shared" si="4"/>
        <v>7.939773296511683</v>
      </c>
      <c r="D27" s="251">
        <f t="shared" si="0"/>
        <v>10.673523922674537</v>
      </c>
      <c r="E27" s="207">
        <f>(G27+C27)/2</f>
        <v>13.96988664825584</v>
      </c>
      <c r="F27" s="251">
        <f t="shared" si="1"/>
        <v>13.40727454883739</v>
      </c>
      <c r="G27" s="201">
        <v>20</v>
      </c>
      <c r="H27" s="200">
        <v>1.5</v>
      </c>
      <c r="I27" s="200">
        <v>5</v>
      </c>
      <c r="J27" s="202">
        <f t="shared" si="2"/>
        <v>21.2264</v>
      </c>
      <c r="K27" s="203" t="s">
        <v>157</v>
      </c>
      <c r="L27" s="208">
        <v>9</v>
      </c>
      <c r="M27" s="204">
        <f t="shared" si="3"/>
        <v>1.1266666666666667</v>
      </c>
      <c r="N27" s="202">
        <f t="shared" si="5"/>
        <v>36</v>
      </c>
    </row>
    <row r="28" spans="1:16" ht="12.75">
      <c r="A28" s="216"/>
      <c r="B28" s="217"/>
      <c r="C28" s="218"/>
      <c r="D28" s="219"/>
      <c r="E28" s="220"/>
      <c r="F28" s="220"/>
      <c r="G28" s="221"/>
      <c r="H28" s="221"/>
      <c r="I28" s="216"/>
      <c r="J28" s="216"/>
      <c r="K28" s="222"/>
      <c r="L28" s="223">
        <f>SUM(L13:L27)</f>
        <v>54</v>
      </c>
      <c r="M28" s="224" t="s">
        <v>149</v>
      </c>
      <c r="N28" s="264">
        <f>SUM(N12:N27)</f>
        <v>1031.1599999999999</v>
      </c>
      <c r="P28" s="222">
        <f>SUM(N9:N27)</f>
        <v>1031.1599999999999</v>
      </c>
    </row>
    <row r="29" spans="1:12" ht="12.75">
      <c r="A29" s="252" t="s">
        <v>165</v>
      </c>
      <c r="B29" s="253"/>
      <c r="C29" s="253"/>
      <c r="D29" s="253"/>
      <c r="E29" s="254"/>
      <c r="F29" s="254"/>
      <c r="G29" s="253"/>
      <c r="H29" s="253"/>
      <c r="I29" s="253"/>
      <c r="J29" s="253"/>
      <c r="K29" s="255"/>
      <c r="L29" s="253"/>
    </row>
    <row r="30" ht="12.75">
      <c r="A30" s="209" t="s">
        <v>166</v>
      </c>
    </row>
    <row r="31" ht="12.75">
      <c r="A31" s="210" t="s">
        <v>167</v>
      </c>
    </row>
    <row r="32" ht="12.75">
      <c r="A32" s="212" t="s">
        <v>168</v>
      </c>
    </row>
    <row r="33" ht="12.75">
      <c r="A33" s="211" t="s">
        <v>169</v>
      </c>
    </row>
    <row r="41" spans="1:15" ht="12.75">
      <c r="A41" s="248"/>
      <c r="B41" s="248"/>
      <c r="C41" s="248"/>
      <c r="D41" s="248"/>
      <c r="E41" s="249"/>
      <c r="F41" s="249"/>
      <c r="G41" s="248"/>
      <c r="H41" s="248"/>
      <c r="I41" s="248"/>
      <c r="J41" s="248"/>
      <c r="K41" s="250"/>
      <c r="L41" s="248"/>
      <c r="M41" s="248"/>
      <c r="N41" s="250"/>
      <c r="O41" s="248"/>
    </row>
    <row r="42" spans="1:15" ht="12.75">
      <c r="A42" s="248"/>
      <c r="B42" s="248"/>
      <c r="C42" s="248"/>
      <c r="D42" s="248"/>
      <c r="E42" s="249"/>
      <c r="F42" s="249"/>
      <c r="G42" s="248"/>
      <c r="H42" s="248"/>
      <c r="I42" s="248"/>
      <c r="J42" s="248"/>
      <c r="K42" s="250"/>
      <c r="L42" s="248"/>
      <c r="M42" s="248"/>
      <c r="N42" s="250"/>
      <c r="O42" s="248"/>
    </row>
    <row r="43" spans="1:15" ht="12.75">
      <c r="A43" s="248"/>
      <c r="B43" s="248"/>
      <c r="C43" s="248"/>
      <c r="D43" s="248"/>
      <c r="E43" s="249"/>
      <c r="F43" s="249"/>
      <c r="G43" s="248"/>
      <c r="H43" s="248"/>
      <c r="I43" s="248"/>
      <c r="J43" s="248"/>
      <c r="K43" s="250"/>
      <c r="L43" s="248"/>
      <c r="M43" s="248"/>
      <c r="N43" s="250"/>
      <c r="O43" s="248"/>
    </row>
  </sheetData>
  <mergeCells count="1">
    <mergeCell ref="A3:N3"/>
  </mergeCells>
  <printOptions/>
  <pageMargins left="0.52" right="0.31" top="0.32" bottom="0.32" header="0.19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Liljencrants</dc:creator>
  <cp:keywords/>
  <dc:description/>
  <cp:lastModifiedBy>moi</cp:lastModifiedBy>
  <cp:lastPrinted>2005-04-07T14:03:49Z</cp:lastPrinted>
  <dcterms:created xsi:type="dcterms:W3CDTF">1999-12-13T19:16:16Z</dcterms:created>
  <dcterms:modified xsi:type="dcterms:W3CDTF">2005-08-23T07:21:43Z</dcterms:modified>
  <cp:category/>
  <cp:version/>
  <cp:contentType/>
  <cp:contentStatus/>
</cp:coreProperties>
</file>