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2295" windowWidth="13635" windowHeight="7305" activeTab="0"/>
  </bookViews>
  <sheets>
    <sheet name="Feuil1" sheetId="1" r:id="rId1"/>
    <sheet name="Feuil2" sheetId="2" r:id="rId2"/>
    <sheet name="Graph1" sheetId="3" r:id="rId3"/>
  </sheets>
  <definedNames>
    <definedName name="_xlnm.Print_Area" localSheetId="0">'Feuil1'!$A$1:$W$77</definedName>
    <definedName name="_xlnm.Print_Area" localSheetId="1">'Feuil2'!$A$3:$Q$38</definedName>
  </definedNames>
  <calcPr fullCalcOnLoad="1"/>
</workbook>
</file>

<file path=xl/sharedStrings.xml><?xml version="1.0" encoding="utf-8"?>
<sst xmlns="http://schemas.openxmlformats.org/spreadsheetml/2006/main" count="268" uniqueCount="205">
  <si>
    <t>Note</t>
  </si>
  <si>
    <t>c (m/s)</t>
  </si>
  <si>
    <t>Lcl (m)</t>
  </si>
  <si>
    <t>Wa (m)</t>
  </si>
  <si>
    <t>B</t>
  </si>
  <si>
    <t>c</t>
  </si>
  <si>
    <t>d</t>
  </si>
  <si>
    <t>e</t>
  </si>
  <si>
    <t>f</t>
  </si>
  <si>
    <t>g</t>
  </si>
  <si>
    <t>a</t>
  </si>
  <si>
    <t>b</t>
  </si>
  <si>
    <t>c'</t>
  </si>
  <si>
    <t>d'</t>
  </si>
  <si>
    <t>e'</t>
  </si>
  <si>
    <t>f'</t>
  </si>
  <si>
    <t>g'</t>
  </si>
  <si>
    <t>a'</t>
  </si>
  <si>
    <t>b'</t>
  </si>
  <si>
    <t>c''</t>
  </si>
  <si>
    <t>d''</t>
  </si>
  <si>
    <t>e''</t>
  </si>
  <si>
    <t>f''</t>
  </si>
  <si>
    <t>g''</t>
  </si>
  <si>
    <t>a''</t>
  </si>
  <si>
    <t>b''</t>
  </si>
  <si>
    <t>c'''</t>
  </si>
  <si>
    <t>d'''</t>
  </si>
  <si>
    <t>e'''</t>
  </si>
  <si>
    <t>(mm)</t>
  </si>
  <si>
    <t>Fa</t>
  </si>
  <si>
    <t>Fa #</t>
  </si>
  <si>
    <t>Sol</t>
  </si>
  <si>
    <t>Sol #</t>
  </si>
  <si>
    <t>La</t>
  </si>
  <si>
    <t>La #</t>
  </si>
  <si>
    <t>Si</t>
  </si>
  <si>
    <t>Do #</t>
  </si>
  <si>
    <t>Ré</t>
  </si>
  <si>
    <t>Ré #</t>
  </si>
  <si>
    <t>Mi</t>
  </si>
  <si>
    <t>N Ising</t>
  </si>
  <si>
    <t xml:space="preserve">H pied </t>
  </si>
  <si>
    <t>H bouchon</t>
  </si>
  <si>
    <t>Arrière</t>
  </si>
  <si>
    <t>Avant</t>
  </si>
  <si>
    <t>Jeu</t>
  </si>
  <si>
    <t>Longueur</t>
  </si>
  <si>
    <t>totale</t>
  </si>
  <si>
    <t>Hauteur</t>
  </si>
  <si>
    <t>bouche</t>
  </si>
  <si>
    <t>Long.</t>
  </si>
  <si>
    <t>int.</t>
  </si>
  <si>
    <t>Accous.</t>
  </si>
  <si>
    <t>(m)</t>
  </si>
  <si>
    <t>(Hz)</t>
  </si>
  <si>
    <t>théor.</t>
  </si>
  <si>
    <t>Epaisseur paroi</t>
  </si>
  <si>
    <t>Dimensions</t>
  </si>
  <si>
    <t>Position tuyau</t>
  </si>
  <si>
    <t>Rang</t>
  </si>
  <si>
    <t>tube</t>
  </si>
  <si>
    <t>c#</t>
  </si>
  <si>
    <t>d#</t>
  </si>
  <si>
    <t>f#</t>
  </si>
  <si>
    <t>g#</t>
  </si>
  <si>
    <t>a#</t>
  </si>
  <si>
    <t>c'#</t>
  </si>
  <si>
    <t>d'#</t>
  </si>
  <si>
    <t>f'#</t>
  </si>
  <si>
    <t>g'#</t>
  </si>
  <si>
    <t>a'#</t>
  </si>
  <si>
    <t>c"#</t>
  </si>
  <si>
    <t>d"#</t>
  </si>
  <si>
    <t>f"#</t>
  </si>
  <si>
    <t>g"#</t>
  </si>
  <si>
    <t>a"#</t>
  </si>
  <si>
    <t>c'''#</t>
  </si>
  <si>
    <t>d'''#</t>
  </si>
  <si>
    <t>N°</t>
  </si>
  <si>
    <t>MIDI</t>
  </si>
  <si>
    <t>Fréq.</t>
  </si>
  <si>
    <t>Paramètres</t>
  </si>
  <si>
    <r>
      <t>Pression (cm H</t>
    </r>
    <r>
      <rPr>
        <sz val="5"/>
        <rFont val="Arial"/>
        <family val="2"/>
      </rPr>
      <t>2</t>
    </r>
    <r>
      <rPr>
        <sz val="8"/>
        <rFont val="Arial"/>
        <family val="2"/>
      </rPr>
      <t>0)</t>
    </r>
  </si>
  <si>
    <t>F (Hz)</t>
  </si>
  <si>
    <t>Constantes de construction</t>
  </si>
  <si>
    <t>positif</t>
  </si>
  <si>
    <t>lèvre</t>
  </si>
  <si>
    <t xml:space="preserve">largeur </t>
  </si>
  <si>
    <t>largeur</t>
  </si>
  <si>
    <t>façade</t>
  </si>
  <si>
    <t>surface</t>
  </si>
  <si>
    <t>planches</t>
  </si>
  <si>
    <t>total =</t>
  </si>
  <si>
    <t>en m</t>
  </si>
  <si>
    <t>en m2</t>
  </si>
  <si>
    <t>f'''</t>
  </si>
  <si>
    <t>Do1</t>
  </si>
  <si>
    <t>Do2</t>
  </si>
  <si>
    <t>Do3</t>
  </si>
  <si>
    <t>Do4</t>
  </si>
  <si>
    <t>Do5</t>
  </si>
  <si>
    <t>h</t>
  </si>
  <si>
    <t>H</t>
  </si>
  <si>
    <t>l</t>
  </si>
  <si>
    <t>L</t>
  </si>
  <si>
    <t>P</t>
  </si>
  <si>
    <t>section</t>
  </si>
  <si>
    <t>prof</t>
  </si>
  <si>
    <t>Lumière</t>
  </si>
  <si>
    <t>réelle</t>
  </si>
  <si>
    <t>aérodyn</t>
  </si>
  <si>
    <t>taille</t>
  </si>
  <si>
    <t>VMC</t>
  </si>
  <si>
    <t>lumière</t>
  </si>
  <si>
    <t>progr,</t>
  </si>
  <si>
    <t>V (m/s)</t>
  </si>
  <si>
    <t>larg</t>
  </si>
  <si>
    <t>jeu</t>
  </si>
  <si>
    <t>Surface totale parois flûtes (m²)</t>
  </si>
  <si>
    <t>Largeur totale flûtes (m)</t>
  </si>
  <si>
    <t>s</t>
  </si>
  <si>
    <t>Herman</t>
  </si>
  <si>
    <t>S</t>
  </si>
  <si>
    <t>Dimensions de tuyaux d'orgue bouchés, à section rectangulaire 3/4 avec vannes à membranes concentriques</t>
  </si>
  <si>
    <t>mm²</t>
  </si>
  <si>
    <t>Dimensions des  Vannes à Membranes Concentriques VMC</t>
  </si>
  <si>
    <t>Progr,</t>
  </si>
  <si>
    <t>rayon d'arrivée</t>
  </si>
  <si>
    <t>diamètre arrivée</t>
  </si>
  <si>
    <t>diamètre tourillon</t>
  </si>
  <si>
    <t xml:space="preserve">diamètre chambre </t>
  </si>
  <si>
    <t>hauteur passage en A</t>
  </si>
  <si>
    <t>hauteur passage en B</t>
  </si>
  <si>
    <t>distance centre</t>
  </si>
  <si>
    <t>diamètre outil de pose</t>
  </si>
  <si>
    <t>section d'air</t>
  </si>
  <si>
    <t>lumière mini</t>
  </si>
  <si>
    <t>lumière maxi</t>
  </si>
  <si>
    <t>succession possible</t>
  </si>
  <si>
    <t>A</t>
  </si>
  <si>
    <t>D</t>
  </si>
  <si>
    <t>h1</t>
  </si>
  <si>
    <t>h2</t>
  </si>
  <si>
    <t>m</t>
  </si>
  <si>
    <t>Ø</t>
  </si>
  <si>
    <t>Δ</t>
  </si>
  <si>
    <t>s min</t>
  </si>
  <si>
    <t>s max</t>
  </si>
  <si>
    <t>2*a</t>
  </si>
  <si>
    <t>4*a</t>
  </si>
  <si>
    <t>5,4*a</t>
  </si>
  <si>
    <t>a/2</t>
  </si>
  <si>
    <t>a/4</t>
  </si>
  <si>
    <t>5,45*a</t>
  </si>
  <si>
    <t>12*a</t>
  </si>
  <si>
    <t>0,6*a</t>
  </si>
  <si>
    <t>¶*a*a</t>
  </si>
  <si>
    <t>S/7</t>
  </si>
  <si>
    <t>S/5</t>
  </si>
  <si>
    <t>cloche intérieure</t>
  </si>
  <si>
    <t>cloche extérieure</t>
  </si>
  <si>
    <t>+</t>
  </si>
  <si>
    <t>-</t>
  </si>
  <si>
    <t>32,4 ≤s&lt; 41</t>
  </si>
  <si>
    <t>26≤s&lt;32,4</t>
  </si>
  <si>
    <t>19≤s&lt;26</t>
  </si>
  <si>
    <t>13,6≤s&lt;19</t>
  </si>
  <si>
    <t>11,3≤s&lt;13,6</t>
  </si>
  <si>
    <t>55≤s</t>
  </si>
  <si>
    <t>9,1≤s&lt;11,3</t>
  </si>
  <si>
    <t>7,2≤s&lt;9,1</t>
  </si>
  <si>
    <t xml:space="preserve"> 5,6≤s&lt;7,2</t>
  </si>
  <si>
    <t>4≤s&lt;5,6</t>
  </si>
  <si>
    <t>s&lt;4</t>
  </si>
  <si>
    <t>41≤s&lt; 55</t>
  </si>
  <si>
    <t>super-basses</t>
  </si>
  <si>
    <t>basses</t>
  </si>
  <si>
    <t>montre</t>
  </si>
  <si>
    <t>flèche</t>
  </si>
  <si>
    <t>longueur chainette</t>
  </si>
  <si>
    <t>N° flûtes Herman</t>
  </si>
  <si>
    <t>7à10</t>
  </si>
  <si>
    <t>11à13</t>
  </si>
  <si>
    <t>14à19</t>
  </si>
  <si>
    <t>20à27</t>
  </si>
  <si>
    <t>35-</t>
  </si>
  <si>
    <t>60-</t>
  </si>
  <si>
    <t>40+</t>
  </si>
  <si>
    <t>21+</t>
  </si>
  <si>
    <t>14-</t>
  </si>
  <si>
    <t>+ tordre une dent intérieure vers l'extérieur pour augmenter  le diamètre intérieur</t>
  </si>
  <si>
    <r>
      <t>-</t>
    </r>
    <r>
      <rPr>
        <b/>
        <sz val="10"/>
        <rFont val="Arial"/>
        <family val="0"/>
      </rPr>
      <t xml:space="preserve"> tordre une dent intérieure vers l'intérieur pour diminuer le diamètre intérieur</t>
    </r>
  </si>
  <si>
    <t>+ tordre une dent extérieure vers l'extérieur pour augmenter  le diamètre extérieur</t>
  </si>
  <si>
    <r>
      <t>-</t>
    </r>
    <r>
      <rPr>
        <b/>
        <sz val="10"/>
        <rFont val="Arial"/>
        <family val="0"/>
      </rPr>
      <t xml:space="preserve"> tordre une dent extérieure vers l'intérieur pour diminuer le diamètre extérieur</t>
    </r>
  </si>
  <si>
    <t>diamètre</t>
  </si>
  <si>
    <t>mm</t>
  </si>
  <si>
    <t>27t</t>
  </si>
  <si>
    <t>42t</t>
  </si>
  <si>
    <t>29t</t>
  </si>
  <si>
    <t>S/s</t>
  </si>
  <si>
    <t>+Sup bas</t>
  </si>
  <si>
    <t>5,6*a</t>
  </si>
  <si>
    <t>Système Ising à progression variable et lumière corrigée</t>
  </si>
  <si>
    <t>hydraule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</si>
</sst>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EK&quot;\ #,##0_);\(&quot;SEK&quot;\ #,##0\)"/>
    <numFmt numFmtId="173" formatCode="&quot;SEK&quot;\ #,##0_);[Red]\(&quot;SEK&quot;\ #,##0\)"/>
    <numFmt numFmtId="174" formatCode="&quot;SEK&quot;\ #,##0.00_);\(&quot;SEK&quot;\ #,##0.00\)"/>
    <numFmt numFmtId="175" formatCode="&quot;SEK&quot;\ #,##0.00_);[Red]\(&quot;SEK&quot;\ #,##0.00\)"/>
    <numFmt numFmtId="176" formatCode="_(&quot;SEK&quot;\ * #,##0_);_(&quot;SEK&quot;\ * \(#,##0\);_(&quot;SEK&quot;\ * &quot;-&quot;_);_(@_)"/>
    <numFmt numFmtId="177" formatCode="_(* #,##0_);_(* \(#,##0\);_(* &quot;-&quot;_);_(@_)"/>
    <numFmt numFmtId="178" formatCode="_(&quot;SEK&quot;\ * #,##0.00_);_(&quot;SEK&quot;\ * \(#,##0.00\);_(&quot;SEK&quot;\ 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_([$€]\ * #,##0.00_);_([$€]\ * \(#,##0.00\);_([$€]\ * &quot;-&quot;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5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0"/>
    </font>
    <font>
      <b/>
      <sz val="12"/>
      <color indexed="12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.75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81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82" fontId="0" fillId="0" borderId="0" xfId="0" applyNumberFormat="1" applyAlignment="1">
      <alignment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 horizontal="right"/>
    </xf>
    <xf numFmtId="18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82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3" fillId="0" borderId="3" xfId="0" applyNumberFormat="1" applyFont="1" applyBorder="1" applyAlignment="1">
      <alignment horizontal="center"/>
    </xf>
    <xf numFmtId="182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82" fontId="4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8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181" fontId="4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82" fontId="4" fillId="0" borderId="4" xfId="0" applyNumberFormat="1" applyFont="1" applyBorder="1" applyAlignment="1">
      <alignment horizontal="center"/>
    </xf>
    <xf numFmtId="181" fontId="0" fillId="3" borderId="1" xfId="0" applyNumberFormat="1" applyFill="1" applyBorder="1" applyAlignment="1">
      <alignment horizontal="center"/>
    </xf>
    <xf numFmtId="181" fontId="0" fillId="4" borderId="1" xfId="0" applyNumberForma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182" fontId="11" fillId="0" borderId="0" xfId="0" applyNumberFormat="1" applyFont="1" applyAlignment="1">
      <alignment horizontal="right"/>
    </xf>
    <xf numFmtId="182" fontId="9" fillId="0" borderId="1" xfId="0" applyNumberFormat="1" applyFont="1" applyBorder="1" applyAlignment="1">
      <alignment horizontal="center"/>
    </xf>
    <xf numFmtId="181" fontId="9" fillId="0" borderId="1" xfId="0" applyNumberFormat="1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1" fontId="17" fillId="0" borderId="0" xfId="0" applyNumberFormat="1" applyFont="1" applyAlignment="1">
      <alignment horizontal="center"/>
    </xf>
    <xf numFmtId="1" fontId="18" fillId="0" borderId="2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2" fontId="17" fillId="0" borderId="0" xfId="0" applyNumberFormat="1" applyFont="1" applyAlignment="1">
      <alignment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/>
    </xf>
    <xf numFmtId="1" fontId="15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/>
    </xf>
    <xf numFmtId="1" fontId="15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2" fontId="17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181" fontId="14" fillId="2" borderId="1" xfId="0" applyNumberFormat="1" applyFont="1" applyFill="1" applyBorder="1" applyAlignment="1">
      <alignment horizontal="center"/>
    </xf>
    <xf numFmtId="181" fontId="12" fillId="2" borderId="1" xfId="0" applyNumberFormat="1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81" fontId="0" fillId="0" borderId="8" xfId="0" applyNumberFormat="1" applyFill="1" applyBorder="1" applyAlignment="1">
      <alignment horizontal="center"/>
    </xf>
    <xf numFmtId="181" fontId="9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/>
    </xf>
    <xf numFmtId="1" fontId="15" fillId="0" borderId="8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81" fontId="12" fillId="3" borderId="1" xfId="0" applyNumberFormat="1" applyFont="1" applyFill="1" applyBorder="1" applyAlignment="1">
      <alignment horizontal="center"/>
    </xf>
    <xf numFmtId="181" fontId="12" fillId="4" borderId="1" xfId="0" applyNumberFormat="1" applyFont="1" applyFill="1" applyBorder="1" applyAlignment="1">
      <alignment horizontal="center"/>
    </xf>
    <xf numFmtId="181" fontId="21" fillId="2" borderId="1" xfId="0" applyNumberFormat="1" applyFont="1" applyFill="1" applyBorder="1" applyAlignment="1">
      <alignment horizontal="center"/>
    </xf>
    <xf numFmtId="181" fontId="22" fillId="0" borderId="0" xfId="0" applyNumberFormat="1" applyFont="1" applyBorder="1" applyAlignment="1">
      <alignment horizontal="center"/>
    </xf>
    <xf numFmtId="181" fontId="21" fillId="3" borderId="1" xfId="0" applyNumberFormat="1" applyFont="1" applyFill="1" applyBorder="1" applyAlignment="1">
      <alignment horizontal="center"/>
    </xf>
    <xf numFmtId="181" fontId="21" fillId="0" borderId="8" xfId="0" applyNumberFormat="1" applyFont="1" applyFill="1" applyBorder="1" applyAlignment="1">
      <alignment horizontal="center"/>
    </xf>
    <xf numFmtId="181" fontId="21" fillId="4" borderId="1" xfId="0" applyNumberFormat="1" applyFont="1" applyFill="1" applyBorder="1" applyAlignment="1">
      <alignment horizontal="center"/>
    </xf>
    <xf numFmtId="182" fontId="19" fillId="2" borderId="1" xfId="0" applyNumberFormat="1" applyFont="1" applyFill="1" applyBorder="1" applyAlignment="1">
      <alignment horizontal="center"/>
    </xf>
    <xf numFmtId="182" fontId="20" fillId="0" borderId="3" xfId="0" applyNumberFormat="1" applyFont="1" applyBorder="1" applyAlignment="1">
      <alignment horizontal="center"/>
    </xf>
    <xf numFmtId="182" fontId="19" fillId="3" borderId="1" xfId="0" applyNumberFormat="1" applyFont="1" applyFill="1" applyBorder="1" applyAlignment="1">
      <alignment horizontal="center"/>
    </xf>
    <xf numFmtId="182" fontId="19" fillId="4" borderId="1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182" fontId="2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181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182" fontId="0" fillId="0" borderId="0" xfId="0" applyNumberFormat="1" applyAlignment="1">
      <alignment horizontal="center"/>
    </xf>
    <xf numFmtId="182" fontId="6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1" fontId="5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2" fontId="0" fillId="4" borderId="1" xfId="0" applyNumberFormat="1" applyFont="1" applyFill="1" applyBorder="1" applyAlignment="1">
      <alignment/>
    </xf>
    <xf numFmtId="2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81" fontId="9" fillId="0" borderId="4" xfId="0" applyNumberFormat="1" applyFont="1" applyBorder="1" applyAlignment="1">
      <alignment horizontal="center"/>
    </xf>
    <xf numFmtId="181" fontId="14" fillId="3" borderId="1" xfId="0" applyNumberFormat="1" applyFont="1" applyFill="1" applyBorder="1" applyAlignment="1">
      <alignment horizontal="center"/>
    </xf>
    <xf numFmtId="181" fontId="14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81" fontId="9" fillId="0" borderId="0" xfId="0" applyNumberFormat="1" applyFont="1" applyAlignment="1">
      <alignment horizontal="center"/>
    </xf>
    <xf numFmtId="181" fontId="5" fillId="0" borderId="1" xfId="0" applyNumberFormat="1" applyFont="1" applyBorder="1" applyAlignment="1">
      <alignment horizont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18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 horizontal="center"/>
    </xf>
    <xf numFmtId="181" fontId="11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83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82" fontId="9" fillId="0" borderId="0" xfId="0" applyNumberFormat="1" applyFont="1" applyAlignment="1">
      <alignment horizontal="center"/>
    </xf>
    <xf numFmtId="182" fontId="5" fillId="0" borderId="0" xfId="0" applyNumberFormat="1" applyFont="1" applyAlignment="1">
      <alignment horizontal="center"/>
    </xf>
    <xf numFmtId="0" fontId="0" fillId="5" borderId="0" xfId="0" applyFill="1" applyAlignment="1">
      <alignment/>
    </xf>
    <xf numFmtId="1" fontId="13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82" fontId="9" fillId="2" borderId="0" xfId="0" applyNumberFormat="1" applyFont="1" applyFill="1" applyAlignment="1">
      <alignment horizontal="center"/>
    </xf>
    <xf numFmtId="182" fontId="12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82" fontId="5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182" fontId="9" fillId="3" borderId="0" xfId="0" applyNumberFormat="1" applyFont="1" applyFill="1" applyAlignment="1">
      <alignment horizontal="center"/>
    </xf>
    <xf numFmtId="2" fontId="9" fillId="3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182" fontId="12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182" fontId="5" fillId="3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82" fontId="12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182" fontId="5" fillId="4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" fillId="0" borderId="0" xfId="0" applyFont="1" applyAlignment="1" quotePrefix="1">
      <alignment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 quotePrefix="1">
      <alignment/>
    </xf>
    <xf numFmtId="0" fontId="25" fillId="2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2" fontId="9" fillId="5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2" fillId="4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16" fontId="0" fillId="4" borderId="0" xfId="0" applyNumberFormat="1" applyFill="1" applyAlignment="1">
      <alignment horizontal="center"/>
    </xf>
    <xf numFmtId="17" fontId="0" fillId="4" borderId="0" xfId="0" applyNumberFormat="1" applyFill="1" applyAlignment="1">
      <alignment horizontal="center"/>
    </xf>
    <xf numFmtId="184" fontId="27" fillId="0" borderId="0" xfId="15" applyFont="1" applyAlignment="1">
      <alignment horizontal="center"/>
    </xf>
    <xf numFmtId="0" fontId="25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1" fontId="5" fillId="5" borderId="0" xfId="0" applyNumberFormat="1" applyFont="1" applyFill="1" applyAlignment="1">
      <alignment horizontal="center"/>
    </xf>
    <xf numFmtId="182" fontId="5" fillId="5" borderId="0" xfId="0" applyNumberFormat="1" applyFont="1" applyFill="1" applyAlignment="1">
      <alignment horizontal="center"/>
    </xf>
    <xf numFmtId="182" fontId="12" fillId="5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 quotePrefix="1">
      <alignment horizontal="center"/>
    </xf>
    <xf numFmtId="0" fontId="3" fillId="0" borderId="2" xfId="0" applyFont="1" applyBorder="1" applyAlignment="1">
      <alignment horizontal="center" wrapText="1"/>
    </xf>
    <xf numFmtId="181" fontId="13" fillId="0" borderId="4" xfId="0" applyNumberFormat="1" applyFont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1" fontId="9" fillId="5" borderId="1" xfId="0" applyNumberFormat="1" applyFont="1" applyFill="1" applyBorder="1" applyAlignment="1">
      <alignment horizontal="center"/>
    </xf>
    <xf numFmtId="181" fontId="13" fillId="0" borderId="1" xfId="0" applyNumberFormat="1" applyFont="1" applyBorder="1" applyAlignment="1">
      <alignment horizontal="center"/>
    </xf>
    <xf numFmtId="182" fontId="9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81" fontId="1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81" fontId="3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81" fontId="1" fillId="0" borderId="3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83" fontId="25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2" fontId="7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2" fontId="3" fillId="0" borderId="2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Alignment="1">
      <alignment/>
    </xf>
    <xf numFmtId="1" fontId="24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065"/>
          <c:w val="0.92375"/>
          <c:h val="0.97275"/>
        </c:manualLayout>
      </c:layout>
      <c:scatterChart>
        <c:scatterStyle val="lineMarker"/>
        <c:varyColors val="0"/>
        <c:ser>
          <c:idx val="0"/>
          <c:order val="0"/>
          <c:tx>
            <c:v>lumière aérodynamique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Feuil1!$K$19:$K$74</c:f>
              <c:numCache>
                <c:ptCount val="56"/>
                <c:pt idx="0">
                  <c:v>42.03191000781841</c:v>
                </c:pt>
                <c:pt idx="1">
                  <c:v>39.8725854038792</c:v>
                </c:pt>
                <c:pt idx="2">
                  <c:v>37.8335834583894</c:v>
                </c:pt>
                <c:pt idx="3">
                  <c:v>35.97105099880429</c:v>
                </c:pt>
                <c:pt idx="4">
                  <c:v>34.145300444264635</c:v>
                </c:pt>
                <c:pt idx="5">
                  <c:v>32.42018239987572</c:v>
                </c:pt>
                <c:pt idx="6">
                  <c:v>30.789733698007666</c:v>
                </c:pt>
                <c:pt idx="7">
                  <c:v>29.24836649668263</c:v>
                </c:pt>
                <c:pt idx="8">
                  <c:v>27.79084333825652</c:v>
                </c:pt>
                <c:pt idx="9">
                  <c:v>26.412253961140383</c:v>
                </c:pt>
                <c:pt idx="10">
                  <c:v>25.107993733682434</c:v>
                </c:pt>
                <c:pt idx="11">
                  <c:v>23.873743589705906</c:v>
                </c:pt>
                <c:pt idx="13">
                  <c:v>22.747278098021596</c:v>
                </c:pt>
                <c:pt idx="14">
                  <c:v>21.681508508579427</c:v>
                </c:pt>
                <c:pt idx="15">
                  <c:v>20.672833645411895</c:v>
                </c:pt>
                <c:pt idx="16">
                  <c:v>19.71787529978782</c:v>
                </c:pt>
                <c:pt idx="17">
                  <c:v>18.813464189592768</c:v>
                </c:pt>
                <c:pt idx="18">
                  <c:v>17.956626846564518</c:v>
                </c:pt>
                <c:pt idx="19">
                  <c:v>17.14457336282343</c:v>
                </c:pt>
                <c:pt idx="20">
                  <c:v>16.374685933668736</c:v>
                </c:pt>
                <c:pt idx="21">
                  <c:v>15.64450813872269</c:v>
                </c:pt>
                <c:pt idx="22">
                  <c:v>14.951734908225468</c:v>
                </c:pt>
                <c:pt idx="23">
                  <c:v>14.294203125637374</c:v>
                </c:pt>
                <c:pt idx="24">
                  <c:v>13.669882821717254</c:v>
                </c:pt>
                <c:pt idx="25">
                  <c:v>13.076868918934759</c:v>
                </c:pt>
                <c:pt idx="26">
                  <c:v>12.513373488461069</c:v>
                </c:pt>
                <c:pt idx="27">
                  <c:v>11.977718485085108</c:v>
                </c:pt>
                <c:pt idx="28">
                  <c:v>11.468328928237494</c:v>
                </c:pt>
                <c:pt idx="30">
                  <c:v>10.983726499890185</c:v>
                </c:pt>
                <c:pt idx="31">
                  <c:v>10.522523532451753</c:v>
                </c:pt>
                <c:pt idx="32">
                  <c:v>10.0834173619129</c:v>
                </c:pt>
                <c:pt idx="33">
                  <c:v>9.665185023430295</c:v>
                </c:pt>
                <c:pt idx="34">
                  <c:v>9.266678268284174</c:v>
                </c:pt>
                <c:pt idx="35">
                  <c:v>8.886818882722517</c:v>
                </c:pt>
                <c:pt idx="36">
                  <c:v>8.524594290625863</c:v>
                </c:pt>
                <c:pt idx="37">
                  <c:v>8.179053423207495</c:v>
                </c:pt>
                <c:pt idx="38">
                  <c:v>7.849302840116809</c:v>
                </c:pt>
                <c:pt idx="39">
                  <c:v>7.534503087352987</c:v>
                </c:pt>
                <c:pt idx="40">
                  <c:v>7.233865278333869</c:v>
                </c:pt>
                <c:pt idx="41">
                  <c:v>6.9466478853126645</c:v>
                </c:pt>
                <c:pt idx="42">
                  <c:v>6.6721537291041955</c:v>
                </c:pt>
                <c:pt idx="43">
                  <c:v>6.409727155781841</c:v>
                </c:pt>
                <c:pt idx="44">
                  <c:v>6.158751389645938</c:v>
                </c:pt>
                <c:pt idx="45">
                  <c:v>5.918646052351433</c:v>
                </c:pt>
                <c:pt idx="46">
                  <c:v>5.688864838624742</c:v>
                </c:pt>
                <c:pt idx="47">
                  <c:v>5.468893339502722</c:v>
                </c:pt>
                <c:pt idx="48">
                  <c:v>5.258247004496209</c:v>
                </c:pt>
                <c:pt idx="49">
                  <c:v>5.0564692345209465</c:v>
                </c:pt>
                <c:pt idx="50">
                  <c:v>4.863129597854054</c:v>
                </c:pt>
                <c:pt idx="51">
                  <c:v>4.677822161767419</c:v>
                </c:pt>
                <c:pt idx="52">
                  <c:v>4.500163932863512</c:v>
                </c:pt>
                <c:pt idx="53">
                  <c:v>4.32979339949582</c:v>
                </c:pt>
                <c:pt idx="54">
                  <c:v>4.166369169997522</c:v>
                </c:pt>
                <c:pt idx="55">
                  <c:v>4.009568700769179</c:v>
                </c:pt>
              </c:numCache>
            </c:numRef>
          </c:xVal>
          <c:yVal>
            <c:numRef>
              <c:f>Feuil1!$J$19:$J$74</c:f>
              <c:numCache>
                <c:ptCount val="56"/>
                <c:pt idx="0">
                  <c:v>0.8148183522340448</c:v>
                </c:pt>
                <c:pt idx="1">
                  <c:v>0.7749097120985281</c:v>
                </c:pt>
                <c:pt idx="2">
                  <c:v>0.7373222565520404</c:v>
                </c:pt>
                <c:pt idx="3">
                  <c:v>0.7063651264140518</c:v>
                </c:pt>
                <c:pt idx="4">
                  <c:v>0.6725738840693465</c:v>
                </c:pt>
                <c:pt idx="5">
                  <c:v>0.6407069984407463</c:v>
                </c:pt>
                <c:pt idx="6">
                  <c:v>0.6106390864310535</c:v>
                </c:pt>
                <c:pt idx="7">
                  <c:v>0.5822538918265491</c:v>
                </c:pt>
                <c:pt idx="8">
                  <c:v>0.5554435550513126</c:v>
                </c:pt>
                <c:pt idx="9">
                  <c:v>0.5301079463800563</c:v>
                </c:pt>
                <c:pt idx="10">
                  <c:v>0.5061540566748753</c:v>
                </c:pt>
                <c:pt idx="11">
                  <c:v>0.48349544030423586</c:v>
                </c:pt>
                <c:pt idx="13">
                  <c:v>0.4653850387658615</c:v>
                </c:pt>
                <c:pt idx="14">
                  <c:v>0.44841471400933125</c:v>
                </c:pt>
                <c:pt idx="15">
                  <c:v>0.43251482087872556</c:v>
                </c:pt>
                <c:pt idx="16">
                  <c:v>0.4176204818093646</c:v>
                </c:pt>
                <c:pt idx="17">
                  <c:v>0.4036712272537764</c:v>
                </c:pt>
                <c:pt idx="18">
                  <c:v>0.3906106656181153</c:v>
                </c:pt>
                <c:pt idx="19">
                  <c:v>0.3783861800984764</c:v>
                </c:pt>
                <c:pt idx="20">
                  <c:v>0.36694865005359595</c:v>
                </c:pt>
                <c:pt idx="21">
                  <c:v>0.35625219477262116</c:v>
                </c:pt>
                <c:pt idx="22">
                  <c:v>0.34625393769660917</c:v>
                </c:pt>
                <c:pt idx="23">
                  <c:v>0.3369137893325376</c:v>
                </c:pt>
                <c:pt idx="24">
                  <c:v>0.3281942472609448</c:v>
                </c:pt>
                <c:pt idx="25">
                  <c:v>0.32006021178474553</c:v>
                </c:pt>
                <c:pt idx="26">
                  <c:v>0.3124788158989224</c:v>
                </c:pt>
                <c:pt idx="27">
                  <c:v>0.3054192683801546</c:v>
                </c:pt>
                <c:pt idx="28">
                  <c:v>0.29885270890332</c:v>
                </c:pt>
                <c:pt idx="30">
                  <c:v>0.2927520741893712</c:v>
                </c:pt>
                <c:pt idx="31">
                  <c:v>0.28709197427737726</c:v>
                </c:pt>
                <c:pt idx="32">
                  <c:v>0.2818485780934759</c:v>
                </c:pt>
                <c:pt idx="33">
                  <c:v>0.27699950756193537</c:v>
                </c:pt>
                <c:pt idx="34">
                  <c:v>0.2725237395692144</c:v>
                </c:pt>
                <c:pt idx="35">
                  <c:v>0.2684015151515151</c:v>
                </c:pt>
                <c:pt idx="36">
                  <c:v>0.26461425533043503</c:v>
                </c:pt>
                <c:pt idx="37">
                  <c:v>0.26114448307047805</c:v>
                </c:pt>
                <c:pt idx="38">
                  <c:v>0.2579757508768685</c:v>
                </c:pt>
                <c:pt idx="39">
                  <c:v>0.25509257359274834</c:v>
                </c:pt>
                <c:pt idx="40">
                  <c:v>0.2524803659918217</c:v>
                </c:pt>
                <c:pt idx="41">
                  <c:v>0.2501253847961872</c:v>
                </c:pt>
                <c:pt idx="42">
                  <c:v>0.24801467477978056</c:v>
                </c:pt>
                <c:pt idx="43">
                  <c:v>0.24613601864582435</c:v>
                </c:pt>
                <c:pt idx="44">
                  <c:v>0.24447789039219345</c:v>
                </c:pt>
                <c:pt idx="45">
                  <c:v>0.24302941190189392</c:v>
                </c:pt>
                <c:pt idx="46">
                  <c:v>0.24178031251711696</c:v>
                </c:pt>
                <c:pt idx="47">
                  <c:v>0.24072089137475844</c:v>
                </c:pt>
                <c:pt idx="48">
                  <c:v>0.2398419822990578</c:v>
                </c:pt>
                <c:pt idx="49">
                  <c:v>0.23913492106325387</c:v>
                </c:pt>
                <c:pt idx="50">
                  <c:v>0.2385915148470257</c:v>
                </c:pt>
                <c:pt idx="51">
                  <c:v>0.2382040137300979</c:v>
                </c:pt>
                <c:pt idx="52">
                  <c:v>0.23796508407486222</c:v>
                </c:pt>
                <c:pt idx="53">
                  <c:v>0.23786778366229902</c:v>
                </c:pt>
                <c:pt idx="54">
                  <c:v>0.23790553845596374</c:v>
                </c:pt>
                <c:pt idx="55">
                  <c:v>0.23807212087842383</c:v>
                </c:pt>
              </c:numCache>
            </c:numRef>
          </c:yVal>
          <c:smooth val="0"/>
        </c:ser>
        <c:ser>
          <c:idx val="1"/>
          <c:order val="1"/>
          <c:tx>
            <c:v>lumière réelle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Feuil1!$K$19:$K$74</c:f>
              <c:numCache>
                <c:ptCount val="56"/>
                <c:pt idx="0">
                  <c:v>42.03191000781841</c:v>
                </c:pt>
                <c:pt idx="1">
                  <c:v>39.8725854038792</c:v>
                </c:pt>
                <c:pt idx="2">
                  <c:v>37.8335834583894</c:v>
                </c:pt>
                <c:pt idx="3">
                  <c:v>35.97105099880429</c:v>
                </c:pt>
                <c:pt idx="4">
                  <c:v>34.145300444264635</c:v>
                </c:pt>
                <c:pt idx="5">
                  <c:v>32.42018239987572</c:v>
                </c:pt>
                <c:pt idx="6">
                  <c:v>30.789733698007666</c:v>
                </c:pt>
                <c:pt idx="7">
                  <c:v>29.24836649668263</c:v>
                </c:pt>
                <c:pt idx="8">
                  <c:v>27.79084333825652</c:v>
                </c:pt>
                <c:pt idx="9">
                  <c:v>26.412253961140383</c:v>
                </c:pt>
                <c:pt idx="10">
                  <c:v>25.107993733682434</c:v>
                </c:pt>
                <c:pt idx="11">
                  <c:v>23.873743589705906</c:v>
                </c:pt>
                <c:pt idx="13">
                  <c:v>22.747278098021596</c:v>
                </c:pt>
                <c:pt idx="14">
                  <c:v>21.681508508579427</c:v>
                </c:pt>
                <c:pt idx="15">
                  <c:v>20.672833645411895</c:v>
                </c:pt>
                <c:pt idx="16">
                  <c:v>19.71787529978782</c:v>
                </c:pt>
                <c:pt idx="17">
                  <c:v>18.813464189592768</c:v>
                </c:pt>
                <c:pt idx="18">
                  <c:v>17.956626846564518</c:v>
                </c:pt>
                <c:pt idx="19">
                  <c:v>17.14457336282343</c:v>
                </c:pt>
                <c:pt idx="20">
                  <c:v>16.374685933668736</c:v>
                </c:pt>
                <c:pt idx="21">
                  <c:v>15.64450813872269</c:v>
                </c:pt>
                <c:pt idx="22">
                  <c:v>14.951734908225468</c:v>
                </c:pt>
                <c:pt idx="23">
                  <c:v>14.294203125637374</c:v>
                </c:pt>
                <c:pt idx="24">
                  <c:v>13.669882821717254</c:v>
                </c:pt>
                <c:pt idx="25">
                  <c:v>13.076868918934759</c:v>
                </c:pt>
                <c:pt idx="26">
                  <c:v>12.513373488461069</c:v>
                </c:pt>
                <c:pt idx="27">
                  <c:v>11.977718485085108</c:v>
                </c:pt>
                <c:pt idx="28">
                  <c:v>11.468328928237494</c:v>
                </c:pt>
                <c:pt idx="30">
                  <c:v>10.983726499890185</c:v>
                </c:pt>
                <c:pt idx="31">
                  <c:v>10.522523532451753</c:v>
                </c:pt>
                <c:pt idx="32">
                  <c:v>10.0834173619129</c:v>
                </c:pt>
                <c:pt idx="33">
                  <c:v>9.665185023430295</c:v>
                </c:pt>
                <c:pt idx="34">
                  <c:v>9.266678268284174</c:v>
                </c:pt>
                <c:pt idx="35">
                  <c:v>8.886818882722517</c:v>
                </c:pt>
                <c:pt idx="36">
                  <c:v>8.524594290625863</c:v>
                </c:pt>
                <c:pt idx="37">
                  <c:v>8.179053423207495</c:v>
                </c:pt>
                <c:pt idx="38">
                  <c:v>7.849302840116809</c:v>
                </c:pt>
                <c:pt idx="39">
                  <c:v>7.534503087352987</c:v>
                </c:pt>
                <c:pt idx="40">
                  <c:v>7.233865278333869</c:v>
                </c:pt>
                <c:pt idx="41">
                  <c:v>6.9466478853126645</c:v>
                </c:pt>
                <c:pt idx="42">
                  <c:v>6.6721537291041955</c:v>
                </c:pt>
                <c:pt idx="43">
                  <c:v>6.409727155781841</c:v>
                </c:pt>
                <c:pt idx="44">
                  <c:v>6.158751389645938</c:v>
                </c:pt>
                <c:pt idx="45">
                  <c:v>5.918646052351433</c:v>
                </c:pt>
                <c:pt idx="46">
                  <c:v>5.688864838624742</c:v>
                </c:pt>
                <c:pt idx="47">
                  <c:v>5.468893339502722</c:v>
                </c:pt>
                <c:pt idx="48">
                  <c:v>5.258247004496209</c:v>
                </c:pt>
                <c:pt idx="49">
                  <c:v>5.0564692345209465</c:v>
                </c:pt>
                <c:pt idx="50">
                  <c:v>4.863129597854054</c:v>
                </c:pt>
                <c:pt idx="51">
                  <c:v>4.677822161767419</c:v>
                </c:pt>
                <c:pt idx="52">
                  <c:v>4.500163932863512</c:v>
                </c:pt>
                <c:pt idx="53">
                  <c:v>4.32979339949582</c:v>
                </c:pt>
                <c:pt idx="54">
                  <c:v>4.166369169997522</c:v>
                </c:pt>
                <c:pt idx="55">
                  <c:v>4.009568700769179</c:v>
                </c:pt>
              </c:numCache>
            </c:numRef>
          </c:xVal>
          <c:yVal>
            <c:numRef>
              <c:f>Feuil1!$I$19:$I$74</c:f>
              <c:numCache>
                <c:ptCount val="56"/>
                <c:pt idx="0">
                  <c:v>0.9548183522340448</c:v>
                </c:pt>
                <c:pt idx="1">
                  <c:v>0.9149097120985281</c:v>
                </c:pt>
                <c:pt idx="2">
                  <c:v>0.8773222565520404</c:v>
                </c:pt>
                <c:pt idx="3">
                  <c:v>0.8463651264140518</c:v>
                </c:pt>
                <c:pt idx="4">
                  <c:v>0.8125738840693465</c:v>
                </c:pt>
                <c:pt idx="5">
                  <c:v>0.7807069984407463</c:v>
                </c:pt>
                <c:pt idx="6">
                  <c:v>0.7506390864310535</c:v>
                </c:pt>
                <c:pt idx="7">
                  <c:v>0.7222538918265491</c:v>
                </c:pt>
                <c:pt idx="8">
                  <c:v>0.6954435550513126</c:v>
                </c:pt>
                <c:pt idx="9">
                  <c:v>0.6701079463800563</c:v>
                </c:pt>
                <c:pt idx="10">
                  <c:v>0.6461540566748754</c:v>
                </c:pt>
                <c:pt idx="11">
                  <c:v>0.6234954403042359</c:v>
                </c:pt>
                <c:pt idx="13">
                  <c:v>0.6053850387658615</c:v>
                </c:pt>
                <c:pt idx="14">
                  <c:v>0.5884147140093312</c:v>
                </c:pt>
                <c:pt idx="15">
                  <c:v>0.5725148208787256</c:v>
                </c:pt>
                <c:pt idx="16">
                  <c:v>0.5576204818093646</c:v>
                </c:pt>
                <c:pt idx="17">
                  <c:v>0.5436712272537765</c:v>
                </c:pt>
                <c:pt idx="18">
                  <c:v>0.5306106656181153</c:v>
                </c:pt>
                <c:pt idx="19">
                  <c:v>0.5183861800984764</c:v>
                </c:pt>
                <c:pt idx="20">
                  <c:v>0.506948650053596</c:v>
                </c:pt>
                <c:pt idx="21">
                  <c:v>0.49625219477262117</c:v>
                </c:pt>
                <c:pt idx="22">
                  <c:v>0.4862539376966092</c:v>
                </c:pt>
                <c:pt idx="23">
                  <c:v>0.47691378933253764</c:v>
                </c:pt>
                <c:pt idx="24">
                  <c:v>0.46819424726094483</c:v>
                </c:pt>
                <c:pt idx="25">
                  <c:v>0.46006021178474554</c:v>
                </c:pt>
                <c:pt idx="26">
                  <c:v>0.4524788158989224</c:v>
                </c:pt>
                <c:pt idx="27">
                  <c:v>0.4454192683801546</c:v>
                </c:pt>
                <c:pt idx="28">
                  <c:v>0.43885270890332</c:v>
                </c:pt>
                <c:pt idx="30">
                  <c:v>0.4327520741893712</c:v>
                </c:pt>
                <c:pt idx="31">
                  <c:v>0.4270919742773773</c:v>
                </c:pt>
                <c:pt idx="32">
                  <c:v>0.4218485780934759</c:v>
                </c:pt>
                <c:pt idx="33">
                  <c:v>0.4169995075619354</c:v>
                </c:pt>
                <c:pt idx="34">
                  <c:v>0.4125237395692144</c:v>
                </c:pt>
                <c:pt idx="35">
                  <c:v>0.4084015151515151</c:v>
                </c:pt>
                <c:pt idx="36">
                  <c:v>0.40461425533043505</c:v>
                </c:pt>
                <c:pt idx="37">
                  <c:v>0.40114448307047806</c:v>
                </c:pt>
                <c:pt idx="38">
                  <c:v>0.39797575087686854</c:v>
                </c:pt>
                <c:pt idx="39">
                  <c:v>0.39509257359274835</c:v>
                </c:pt>
                <c:pt idx="40">
                  <c:v>0.39248036599182173</c:v>
                </c:pt>
                <c:pt idx="41">
                  <c:v>0.3901253847961872</c:v>
                </c:pt>
                <c:pt idx="42">
                  <c:v>0.3880146747797806</c:v>
                </c:pt>
                <c:pt idx="43">
                  <c:v>0.38613601864582436</c:v>
                </c:pt>
                <c:pt idx="44">
                  <c:v>0.3844778903921935</c:v>
                </c:pt>
                <c:pt idx="45">
                  <c:v>0.38302941190189393</c:v>
                </c:pt>
                <c:pt idx="46">
                  <c:v>0.38178031251711697</c:v>
                </c:pt>
                <c:pt idx="47">
                  <c:v>0.38072089137475845</c:v>
                </c:pt>
                <c:pt idx="48">
                  <c:v>0.3798419822990578</c:v>
                </c:pt>
                <c:pt idx="49">
                  <c:v>0.37913492106325386</c:v>
                </c:pt>
                <c:pt idx="50">
                  <c:v>0.3785915148470257</c:v>
                </c:pt>
                <c:pt idx="51">
                  <c:v>0.37820401373009793</c:v>
                </c:pt>
                <c:pt idx="52">
                  <c:v>0.37796508407486223</c:v>
                </c:pt>
                <c:pt idx="53">
                  <c:v>0.377867783662299</c:v>
                </c:pt>
                <c:pt idx="54">
                  <c:v>0.37790553845596375</c:v>
                </c:pt>
                <c:pt idx="55">
                  <c:v>0.37807212087842385</c:v>
                </c:pt>
              </c:numCache>
            </c:numRef>
          </c:yVal>
          <c:smooth val="0"/>
        </c:ser>
        <c:axId val="66707853"/>
        <c:axId val="63499766"/>
      </c:scatterChart>
      <c:valAx>
        <c:axId val="66707853"/>
        <c:scaling>
          <c:logBase val="10"/>
          <c:orientation val="maxMin"/>
        </c:scaling>
        <c:axPos val="t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3499766"/>
        <c:crosses val="autoZero"/>
        <c:crossBetween val="midCat"/>
        <c:dispUnits/>
      </c:valAx>
      <c:valAx>
        <c:axId val="63499766"/>
        <c:scaling>
          <c:logBase val="10"/>
          <c:orientation val="maxMin"/>
        </c:scaling>
        <c:axPos val="r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7078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46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419975"/>
    <xdr:graphicFrame>
      <xdr:nvGraphicFramePr>
        <xdr:cNvPr id="1" name="Chart 1"/>
        <xdr:cNvGraphicFramePr/>
      </xdr:nvGraphicFramePr>
      <xdr:xfrm>
        <a:off x="0" y="0"/>
        <a:ext cx="1200150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Y104"/>
  <sheetViews>
    <sheetView tabSelected="1" zoomScale="83" zoomScaleNormal="83" workbookViewId="0" topLeftCell="A1">
      <selection activeCell="J7" sqref="J7"/>
    </sheetView>
  </sheetViews>
  <sheetFormatPr defaultColWidth="11.421875" defaultRowHeight="12.75"/>
  <cols>
    <col min="1" max="1" width="5.140625" style="36" customWidth="1"/>
    <col min="2" max="2" width="7.8515625" style="19" customWidth="1"/>
    <col min="3" max="3" width="5.8515625" style="0" customWidth="1"/>
    <col min="4" max="4" width="7.7109375" style="0" customWidth="1"/>
    <col min="5" max="5" width="6.7109375" style="9" customWidth="1"/>
    <col min="6" max="6" width="7.140625" style="9" customWidth="1"/>
    <col min="7" max="7" width="9.00390625" style="83" customWidth="1"/>
    <col min="8" max="8" width="7.8515625" style="83" customWidth="1"/>
    <col min="9" max="9" width="9.7109375" style="83" customWidth="1"/>
    <col min="10" max="10" width="7.8515625" style="9" customWidth="1"/>
    <col min="11" max="11" width="8.421875" style="12" customWidth="1"/>
    <col min="12" max="12" width="7.28125" style="12" customWidth="1"/>
    <col min="13" max="13" width="8.00390625" style="20" customWidth="1"/>
    <col min="14" max="14" width="7.8515625" style="4" customWidth="1"/>
    <col min="15" max="15" width="6.140625" style="9" customWidth="1"/>
    <col min="16" max="16" width="4.8515625" style="19" customWidth="1"/>
    <col min="17" max="17" width="5.421875" style="19" customWidth="1"/>
    <col min="18" max="18" width="8.140625" style="96" customWidth="1"/>
    <col min="19" max="19" width="9.7109375" style="186" customWidth="1"/>
    <col min="20" max="20" width="7.140625" style="159" customWidth="1"/>
    <col min="21" max="21" width="4.8515625" style="159" customWidth="1"/>
    <col min="22" max="22" width="8.8515625" style="161" customWidth="1"/>
    <col min="23" max="23" width="8.8515625" style="164" customWidth="1"/>
    <col min="24" max="24" width="9.140625" style="21" customWidth="1"/>
    <col min="25" max="25" width="12.140625" style="156" customWidth="1"/>
    <col min="26" max="16384" width="9.140625" style="0" customWidth="1"/>
  </cols>
  <sheetData>
    <row r="1" spans="1:19" ht="15.75">
      <c r="A1" s="289" t="s">
        <v>124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</row>
    <row r="2" spans="1:13" ht="15.75">
      <c r="A2" s="37"/>
      <c r="M2" s="167"/>
    </row>
    <row r="3" ht="15.75">
      <c r="A3" s="8" t="s">
        <v>85</v>
      </c>
    </row>
    <row r="4" spans="1:18" ht="15.75">
      <c r="A4" s="300" t="s">
        <v>59</v>
      </c>
      <c r="B4" s="301"/>
      <c r="C4" s="32" t="s">
        <v>44</v>
      </c>
      <c r="D4" s="31" t="s">
        <v>45</v>
      </c>
      <c r="E4" s="188" t="s">
        <v>86</v>
      </c>
      <c r="F4" s="90"/>
      <c r="J4"/>
      <c r="K4"/>
      <c r="L4"/>
      <c r="M4" s="19"/>
      <c r="N4" s="19"/>
      <c r="O4"/>
      <c r="R4" s="97"/>
    </row>
    <row r="5" spans="1:18" ht="18">
      <c r="A5" s="288" t="s">
        <v>42</v>
      </c>
      <c r="B5" s="288"/>
      <c r="C5" s="66">
        <v>0.06</v>
      </c>
      <c r="D5" s="67">
        <v>0.05</v>
      </c>
      <c r="E5" s="129">
        <v>0.08</v>
      </c>
      <c r="F5" s="90"/>
      <c r="G5" s="90"/>
      <c r="H5" s="90"/>
      <c r="I5" s="90"/>
      <c r="J5" s="280" t="s">
        <v>203</v>
      </c>
      <c r="K5"/>
      <c r="L5"/>
      <c r="M5" s="19"/>
      <c r="N5" s="19"/>
      <c r="O5"/>
      <c r="R5" s="97"/>
    </row>
    <row r="6" spans="1:18" ht="15.75">
      <c r="A6" s="288" t="s">
        <v>43</v>
      </c>
      <c r="B6" s="288"/>
      <c r="C6" s="66">
        <v>0.04</v>
      </c>
      <c r="D6" s="67">
        <v>0.03</v>
      </c>
      <c r="E6" s="129">
        <v>0.04</v>
      </c>
      <c r="F6" s="90"/>
      <c r="G6" s="90"/>
      <c r="H6" s="90"/>
      <c r="I6" s="90"/>
      <c r="J6" s="16"/>
      <c r="K6"/>
      <c r="L6"/>
      <c r="M6" s="19"/>
      <c r="N6" s="19"/>
      <c r="O6"/>
      <c r="R6" s="97"/>
    </row>
    <row r="7" spans="1:18" ht="15.75">
      <c r="A7" s="288" t="s">
        <v>57</v>
      </c>
      <c r="B7" s="288"/>
      <c r="C7" s="66">
        <v>0.005</v>
      </c>
      <c r="D7" s="67">
        <v>0.005</v>
      </c>
      <c r="E7" s="129">
        <v>0.01</v>
      </c>
      <c r="F7" s="90"/>
      <c r="G7" s="90"/>
      <c r="H7" s="90"/>
      <c r="I7" s="90"/>
      <c r="J7"/>
      <c r="K7"/>
      <c r="L7"/>
      <c r="M7" s="55"/>
      <c r="N7" s="61"/>
      <c r="O7"/>
      <c r="R7" s="97"/>
    </row>
    <row r="8" spans="1:14" ht="15.75">
      <c r="A8" s="8"/>
      <c r="E8" s="13"/>
      <c r="F8" s="13"/>
      <c r="G8" s="91"/>
      <c r="H8" s="91"/>
      <c r="I8" s="91"/>
      <c r="K8" s="14"/>
      <c r="L8" s="14"/>
      <c r="M8" s="21"/>
      <c r="N8" s="61"/>
    </row>
    <row r="9" spans="1:25" s="6" customFormat="1" ht="15">
      <c r="A9" s="8" t="s">
        <v>82</v>
      </c>
      <c r="B9" s="24"/>
      <c r="C9" s="180"/>
      <c r="E9" s="10"/>
      <c r="F9" s="10"/>
      <c r="G9" s="84"/>
      <c r="H9" s="84"/>
      <c r="I9" s="84"/>
      <c r="J9" s="10"/>
      <c r="K9" s="13"/>
      <c r="L9" s="13"/>
      <c r="M9" s="73"/>
      <c r="N9" s="61"/>
      <c r="O9" s="10"/>
      <c r="P9" s="24"/>
      <c r="Q9" s="24"/>
      <c r="R9" s="98"/>
      <c r="S9" s="187"/>
      <c r="T9" s="160"/>
      <c r="U9" s="160"/>
      <c r="V9" s="162"/>
      <c r="W9" s="165"/>
      <c r="X9" s="153"/>
      <c r="Y9" s="157"/>
    </row>
    <row r="10" spans="1:25" s="3" customFormat="1" ht="15.75">
      <c r="A10" s="38" t="s">
        <v>84</v>
      </c>
      <c r="B10" s="39" t="s">
        <v>1</v>
      </c>
      <c r="C10" s="38" t="s">
        <v>112</v>
      </c>
      <c r="D10" s="39" t="s">
        <v>115</v>
      </c>
      <c r="E10" s="40" t="s">
        <v>41</v>
      </c>
      <c r="F10" s="40"/>
      <c r="G10" s="92" t="s">
        <v>116</v>
      </c>
      <c r="H10" s="92"/>
      <c r="I10" s="92"/>
      <c r="J10" s="295" t="s">
        <v>83</v>
      </c>
      <c r="K10" s="296"/>
      <c r="L10" s="22"/>
      <c r="O10" s="17"/>
      <c r="P10" s="23"/>
      <c r="Q10" s="23"/>
      <c r="R10" s="99"/>
      <c r="S10" s="186"/>
      <c r="T10" s="159"/>
      <c r="U10" s="159"/>
      <c r="V10" s="161"/>
      <c r="W10" s="164"/>
      <c r="X10" s="61"/>
      <c r="Y10" s="158"/>
    </row>
    <row r="11" spans="1:25" s="1" customFormat="1" ht="15.75">
      <c r="A11" s="34">
        <v>440</v>
      </c>
      <c r="B11" s="35">
        <v>343.32</v>
      </c>
      <c r="C11" s="34">
        <v>20</v>
      </c>
      <c r="D11" s="35">
        <v>16</v>
      </c>
      <c r="E11" s="35">
        <v>2.3</v>
      </c>
      <c r="F11" s="35"/>
      <c r="G11" s="175">
        <f>SQRT((2*J11)/0.0125)</f>
        <v>41.95235392680606</v>
      </c>
      <c r="H11" s="93"/>
      <c r="I11" s="93"/>
      <c r="J11" s="297">
        <v>11</v>
      </c>
      <c r="K11" s="296"/>
      <c r="L11" s="20"/>
      <c r="O11" s="18"/>
      <c r="P11" s="19"/>
      <c r="Q11" s="19"/>
      <c r="R11" s="99"/>
      <c r="S11" s="186"/>
      <c r="T11" s="249"/>
      <c r="U11" s="249"/>
      <c r="V11" s="161"/>
      <c r="W11" s="164"/>
      <c r="X11" s="21"/>
      <c r="Y11" s="156"/>
    </row>
    <row r="12" spans="1:25" s="1" customFormat="1" ht="15.75">
      <c r="A12" s="69"/>
      <c r="B12" s="70"/>
      <c r="C12" s="69"/>
      <c r="D12" s="71"/>
      <c r="E12" s="70"/>
      <c r="F12" s="70"/>
      <c r="G12" s="94"/>
      <c r="H12" s="94"/>
      <c r="I12" s="94"/>
      <c r="J12" s="72"/>
      <c r="K12" s="55"/>
      <c r="L12" s="20"/>
      <c r="M12" s="33"/>
      <c r="O12" s="18"/>
      <c r="P12" s="19"/>
      <c r="Q12" s="19"/>
      <c r="R12" s="99"/>
      <c r="S12" s="186"/>
      <c r="T12" s="159"/>
      <c r="U12" s="159"/>
      <c r="V12" s="161"/>
      <c r="W12" s="164"/>
      <c r="X12" s="21"/>
      <c r="Y12" s="156"/>
    </row>
    <row r="13" spans="1:25" s="1" customFormat="1" ht="15.75">
      <c r="A13" s="8" t="s">
        <v>58</v>
      </c>
      <c r="B13" s="19"/>
      <c r="C13" s="180"/>
      <c r="D13" s="151"/>
      <c r="E13" s="11"/>
      <c r="F13" s="11"/>
      <c r="G13" s="85"/>
      <c r="H13" s="85"/>
      <c r="I13" s="85"/>
      <c r="J13" s="11"/>
      <c r="K13" s="5"/>
      <c r="L13" s="5"/>
      <c r="M13" s="74"/>
      <c r="N13" s="2" t="s">
        <v>87</v>
      </c>
      <c r="O13" s="15"/>
      <c r="P13" s="19"/>
      <c r="Q13" s="19"/>
      <c r="R13" s="100"/>
      <c r="S13" s="186"/>
      <c r="T13" s="159"/>
      <c r="U13" s="159"/>
      <c r="V13" s="152" t="s">
        <v>92</v>
      </c>
      <c r="W13" s="74"/>
      <c r="Y13" s="156"/>
    </row>
    <row r="14" spans="1:25" s="1" customFormat="1" ht="26.25">
      <c r="A14" s="286" t="s">
        <v>0</v>
      </c>
      <c r="B14" s="287"/>
      <c r="C14" s="68" t="s">
        <v>79</v>
      </c>
      <c r="D14" s="41" t="s">
        <v>81</v>
      </c>
      <c r="E14" s="42" t="s">
        <v>51</v>
      </c>
      <c r="F14" s="195" t="s">
        <v>127</v>
      </c>
      <c r="G14" s="86" t="s">
        <v>88</v>
      </c>
      <c r="H14" s="185" t="s">
        <v>108</v>
      </c>
      <c r="I14" s="284" t="s">
        <v>109</v>
      </c>
      <c r="J14" s="285"/>
      <c r="K14" s="44" t="s">
        <v>49</v>
      </c>
      <c r="L14" s="292" t="s">
        <v>47</v>
      </c>
      <c r="M14" s="292"/>
      <c r="N14" s="41" t="s">
        <v>89</v>
      </c>
      <c r="O14" s="43" t="s">
        <v>117</v>
      </c>
      <c r="P14" s="41" t="s">
        <v>46</v>
      </c>
      <c r="Q14" s="261" t="s">
        <v>122</v>
      </c>
      <c r="R14" s="101" t="s">
        <v>60</v>
      </c>
      <c r="S14" s="267" t="s">
        <v>107</v>
      </c>
      <c r="T14" s="268" t="s">
        <v>113</v>
      </c>
      <c r="U14" s="282" t="s">
        <v>200</v>
      </c>
      <c r="V14" s="269" t="s">
        <v>88</v>
      </c>
      <c r="W14" s="270" t="s">
        <v>91</v>
      </c>
      <c r="X14" s="21" t="s">
        <v>204</v>
      </c>
      <c r="Y14" s="156"/>
    </row>
    <row r="15" spans="1:25" s="7" customFormat="1" ht="15.75">
      <c r="A15" s="302"/>
      <c r="B15" s="303"/>
      <c r="C15" s="45" t="s">
        <v>80</v>
      </c>
      <c r="D15" s="46"/>
      <c r="E15" s="47" t="s">
        <v>56</v>
      </c>
      <c r="F15" s="47">
        <v>0.08</v>
      </c>
      <c r="G15" s="87" t="s">
        <v>52</v>
      </c>
      <c r="H15" s="89" t="s">
        <v>52</v>
      </c>
      <c r="I15" s="87" t="s">
        <v>110</v>
      </c>
      <c r="J15" s="47" t="s">
        <v>111</v>
      </c>
      <c r="K15" s="48" t="s">
        <v>50</v>
      </c>
      <c r="L15" s="48" t="s">
        <v>53</v>
      </c>
      <c r="M15" s="47" t="s">
        <v>48</v>
      </c>
      <c r="N15" s="45" t="s">
        <v>90</v>
      </c>
      <c r="O15" s="47" t="s">
        <v>118</v>
      </c>
      <c r="P15" s="75"/>
      <c r="Q15" s="281"/>
      <c r="R15" s="102" t="s">
        <v>61</v>
      </c>
      <c r="S15" s="271" t="s">
        <v>114</v>
      </c>
      <c r="T15" s="272" t="s">
        <v>195</v>
      </c>
      <c r="U15" s="272"/>
      <c r="V15" s="273" t="s">
        <v>94</v>
      </c>
      <c r="W15" s="274" t="s">
        <v>95</v>
      </c>
      <c r="X15" s="154"/>
      <c r="Y15" s="148"/>
    </row>
    <row r="16" spans="1:25" s="3" customFormat="1" ht="15">
      <c r="A16" s="298"/>
      <c r="B16" s="299"/>
      <c r="C16" s="49"/>
      <c r="D16" s="50" t="s">
        <v>55</v>
      </c>
      <c r="E16" s="51" t="s">
        <v>54</v>
      </c>
      <c r="F16" s="51"/>
      <c r="G16" s="82" t="s">
        <v>54</v>
      </c>
      <c r="H16" s="82" t="s">
        <v>54</v>
      </c>
      <c r="I16" s="51" t="s">
        <v>29</v>
      </c>
      <c r="J16" s="51" t="s">
        <v>29</v>
      </c>
      <c r="K16" s="52" t="s">
        <v>29</v>
      </c>
      <c r="L16" s="52" t="s">
        <v>54</v>
      </c>
      <c r="M16" s="51" t="s">
        <v>2</v>
      </c>
      <c r="N16" s="49" t="s">
        <v>3</v>
      </c>
      <c r="O16" s="53"/>
      <c r="P16" s="50"/>
      <c r="Q16" s="50" t="s">
        <v>197</v>
      </c>
      <c r="R16" s="259" t="s">
        <v>198</v>
      </c>
      <c r="S16" s="272" t="s">
        <v>125</v>
      </c>
      <c r="T16" s="259" t="s">
        <v>196</v>
      </c>
      <c r="U16" s="259"/>
      <c r="V16" s="275"/>
      <c r="W16" s="276"/>
      <c r="X16" s="61"/>
      <c r="Y16" s="158"/>
    </row>
    <row r="17" spans="1:25" s="3" customFormat="1" ht="15.75">
      <c r="A17" s="293"/>
      <c r="B17" s="294"/>
      <c r="C17" s="143"/>
      <c r="D17" s="144"/>
      <c r="E17" s="145"/>
      <c r="F17" s="145"/>
      <c r="G17" s="146" t="s">
        <v>104</v>
      </c>
      <c r="H17" s="169" t="s">
        <v>106</v>
      </c>
      <c r="I17" s="145" t="s">
        <v>6</v>
      </c>
      <c r="J17" s="143"/>
      <c r="K17" s="65" t="s">
        <v>102</v>
      </c>
      <c r="L17" s="65" t="s">
        <v>103</v>
      </c>
      <c r="M17" s="145"/>
      <c r="N17" s="144" t="s">
        <v>105</v>
      </c>
      <c r="O17" s="147"/>
      <c r="P17" s="144"/>
      <c r="Q17" s="283" t="s">
        <v>199</v>
      </c>
      <c r="R17" s="260" t="s">
        <v>201</v>
      </c>
      <c r="S17" s="277" t="s">
        <v>121</v>
      </c>
      <c r="T17" s="278" t="s">
        <v>145</v>
      </c>
      <c r="U17" s="143"/>
      <c r="V17" s="279"/>
      <c r="W17" s="262"/>
      <c r="X17" s="88"/>
      <c r="Y17" s="158"/>
    </row>
    <row r="18" spans="1:25" s="3" customFormat="1" ht="15">
      <c r="A18" s="80"/>
      <c r="B18" s="81"/>
      <c r="C18" s="76"/>
      <c r="D18" s="77"/>
      <c r="E18" s="78"/>
      <c r="F18" s="78"/>
      <c r="G18" s="95"/>
      <c r="H18" s="150"/>
      <c r="I18" s="95"/>
      <c r="J18" s="78"/>
      <c r="K18" s="52"/>
      <c r="L18" s="79"/>
      <c r="M18" s="78"/>
      <c r="N18" s="76"/>
      <c r="O18" s="64"/>
      <c r="P18" s="77"/>
      <c r="Q18" s="77"/>
      <c r="R18" s="103"/>
      <c r="S18" s="186"/>
      <c r="T18" s="158"/>
      <c r="U18" s="158"/>
      <c r="V18" s="163"/>
      <c r="W18" s="74"/>
      <c r="X18" s="61"/>
      <c r="Y18" s="158"/>
    </row>
    <row r="19" spans="1:25" s="3" customFormat="1" ht="15.75">
      <c r="A19" s="56" t="s">
        <v>5</v>
      </c>
      <c r="B19" s="56" t="s">
        <v>97</v>
      </c>
      <c r="C19" s="118">
        <v>36</v>
      </c>
      <c r="D19" s="58">
        <f aca="true" t="shared" si="0" ref="D19:D27">$A$11*POWER(2,(C19-69)/12)</f>
        <v>65.40639132514966</v>
      </c>
      <c r="E19" s="59">
        <f aca="true" t="shared" si="1" ref="E19:E29">0.5*$B$11/D19</f>
        <v>2.6245141571355024</v>
      </c>
      <c r="F19" s="189">
        <f>D11</f>
        <v>16</v>
      </c>
      <c r="G19" s="119">
        <f>$E$54*POWER(2,(69-C19)/F19)/$C$11</f>
        <v>0.08148183522340448</v>
      </c>
      <c r="H19" s="119">
        <f>G19/3*4</f>
        <v>0.1086424469645393</v>
      </c>
      <c r="I19" s="189">
        <f>J19+0.14</f>
        <v>0.9548183522340448</v>
      </c>
      <c r="J19" s="189">
        <f>G19*10</f>
        <v>0.8148183522340448</v>
      </c>
      <c r="K19" s="139">
        <f>POWER(I19*(($G$11*$G$11)/((D19*D19)*($E$11*$E$11))*1000000),1/3)</f>
        <v>42.03191000781841</v>
      </c>
      <c r="L19" s="59">
        <f>0.5*E19-G19</f>
        <v>1.2307752433443466</v>
      </c>
      <c r="M19" s="120">
        <f>L19+$E$5+$E$6</f>
        <v>1.3507752433443467</v>
      </c>
      <c r="N19" s="134">
        <f aca="true" t="shared" si="2" ref="N19:N29">G19+2*$E$7</f>
        <v>0.10148183522340448</v>
      </c>
      <c r="O19" s="60"/>
      <c r="P19" s="118">
        <v>1</v>
      </c>
      <c r="Q19" s="118"/>
      <c r="R19" s="104">
        <v>1</v>
      </c>
      <c r="S19" s="266">
        <f>I19*G19*1000</f>
        <v>77.80035164501702</v>
      </c>
      <c r="T19" s="263">
        <f>IF(S19&gt;=55,22,IF(S19&gt;=41,19,IF(S19&gt;=32.4,17,IF(S19&gt;=26,15,IF(S19&gt;=19,13,IF(S19&gt;=13.6,11,IF(S19&gt;=11.6,10)))))))</f>
        <v>22</v>
      </c>
      <c r="U19" s="264">
        <f>(3.1416*(T19*T19))/(4*S19)</f>
        <v>4.886013905624126</v>
      </c>
      <c r="V19" s="265">
        <f>2*(N19+H19+0.006)</f>
        <v>0.43224856437588755</v>
      </c>
      <c r="W19" s="265">
        <f aca="true" t="shared" si="3" ref="W19:W30">V19*M19</f>
        <v>0.583870659730084</v>
      </c>
      <c r="X19" s="61"/>
      <c r="Y19" s="158"/>
    </row>
    <row r="20" spans="1:25" s="3" customFormat="1" ht="15.75">
      <c r="A20" s="56" t="s">
        <v>62</v>
      </c>
      <c r="B20" s="56" t="s">
        <v>37</v>
      </c>
      <c r="C20" s="118">
        <v>37</v>
      </c>
      <c r="D20" s="58">
        <f t="shared" si="0"/>
        <v>69.29565774421802</v>
      </c>
      <c r="E20" s="59">
        <f t="shared" si="1"/>
        <v>2.4772114961896468</v>
      </c>
      <c r="F20" s="189">
        <f>F19+F15</f>
        <v>16.08</v>
      </c>
      <c r="G20" s="119">
        <f aca="true" t="shared" si="4" ref="G20:G30">$E$54*POWER(2,(69-C20)/F20)/$C$11</f>
        <v>0.07749097120985281</v>
      </c>
      <c r="H20" s="119">
        <f aca="true" t="shared" si="5" ref="H20:H30">G20*4/3</f>
        <v>0.10332129494647041</v>
      </c>
      <c r="I20" s="189">
        <f aca="true" t="shared" si="6" ref="I20:I30">J20+0.14</f>
        <v>0.9149097120985281</v>
      </c>
      <c r="J20" s="189">
        <f aca="true" t="shared" si="7" ref="J20:J30">G20*10</f>
        <v>0.7749097120985281</v>
      </c>
      <c r="K20" s="139">
        <f aca="true" t="shared" si="8" ref="K20:K30">POWER(I20*(($G$11*$G$11)/((D20*D20)*($E$11*$E$11))*1000000),1/3)</f>
        <v>39.8725854038792</v>
      </c>
      <c r="L20" s="59">
        <f aca="true" t="shared" si="9" ref="L20:L30">0.5*E20-G20</f>
        <v>1.1611147768849706</v>
      </c>
      <c r="M20" s="120">
        <f aca="true" t="shared" si="10" ref="M20:M29">L20+$E$5+$E$6</f>
        <v>1.2811147768849707</v>
      </c>
      <c r="N20" s="134">
        <f t="shared" si="2"/>
        <v>0.09749097120985281</v>
      </c>
      <c r="O20" s="60"/>
      <c r="P20" s="118">
        <v>1</v>
      </c>
      <c r="Q20" s="118"/>
      <c r="R20" s="104">
        <v>2</v>
      </c>
      <c r="S20" s="266">
        <f aca="true" t="shared" si="11" ref="S20:S30">I20*G20*1000</f>
        <v>70.89724215984177</v>
      </c>
      <c r="T20" s="263">
        <f aca="true" t="shared" si="12" ref="T20:T30">IF(S20&gt;=55,22,IF(S20&gt;=41,19,IF(S20&gt;=32.4,17,IF(S20&gt;=26,15,IF(S20&gt;=19,13,IF(S20&gt;=13.6,11,IF(S20&gt;=11.6,10)))))))</f>
        <v>22</v>
      </c>
      <c r="U20" s="264">
        <f aca="true" t="shared" si="13" ref="U20:U30">(3.1416*(T20*T20))/(4*S20)</f>
        <v>5.361754398612117</v>
      </c>
      <c r="V20" s="265">
        <f aca="true" t="shared" si="14" ref="V20:V30">2*(N20+H20+0.006)</f>
        <v>0.41362453231264645</v>
      </c>
      <c r="W20" s="265">
        <f t="shared" si="3"/>
        <v>0.5299005004278664</v>
      </c>
      <c r="X20" s="61"/>
      <c r="Y20" s="158"/>
    </row>
    <row r="21" spans="1:25" s="3" customFormat="1" ht="15.75">
      <c r="A21" s="56" t="s">
        <v>6</v>
      </c>
      <c r="B21" s="56" t="s">
        <v>38</v>
      </c>
      <c r="C21" s="118">
        <v>38</v>
      </c>
      <c r="D21" s="58">
        <f t="shared" si="0"/>
        <v>73.41619197935188</v>
      </c>
      <c r="E21" s="59">
        <f t="shared" si="1"/>
        <v>2.3381762983331926</v>
      </c>
      <c r="F21" s="189">
        <f>F20+F15</f>
        <v>16.159999999999997</v>
      </c>
      <c r="G21" s="119">
        <f t="shared" si="4"/>
        <v>0.07373222565520404</v>
      </c>
      <c r="H21" s="119">
        <f t="shared" si="5"/>
        <v>0.09830963420693872</v>
      </c>
      <c r="I21" s="189">
        <f t="shared" si="6"/>
        <v>0.8773222565520404</v>
      </c>
      <c r="J21" s="189">
        <f t="shared" si="7"/>
        <v>0.7373222565520404</v>
      </c>
      <c r="K21" s="139">
        <f t="shared" si="8"/>
        <v>37.8335834583894</v>
      </c>
      <c r="L21" s="59">
        <f t="shared" si="9"/>
        <v>1.0953559235113923</v>
      </c>
      <c r="M21" s="120">
        <f t="shared" si="10"/>
        <v>1.2153559235113924</v>
      </c>
      <c r="N21" s="134">
        <f t="shared" si="2"/>
        <v>0.09373222565520405</v>
      </c>
      <c r="O21" s="60"/>
      <c r="P21" s="118">
        <v>1</v>
      </c>
      <c r="Q21" s="118"/>
      <c r="R21" s="104">
        <v>3</v>
      </c>
      <c r="S21" s="266">
        <f t="shared" si="11"/>
        <v>64.68692259242786</v>
      </c>
      <c r="T21" s="263">
        <f t="shared" si="12"/>
        <v>22</v>
      </c>
      <c r="U21" s="264">
        <f t="shared" si="13"/>
        <v>5.876513903669577</v>
      </c>
      <c r="V21" s="265">
        <f t="shared" si="14"/>
        <v>0.3960837197242856</v>
      </c>
      <c r="W21" s="265">
        <f t="shared" si="3"/>
        <v>0.48138269497333663</v>
      </c>
      <c r="X21" s="61"/>
      <c r="Y21" s="158"/>
    </row>
    <row r="22" spans="1:25" s="3" customFormat="1" ht="15.75">
      <c r="A22" s="56" t="s">
        <v>63</v>
      </c>
      <c r="B22" s="56" t="s">
        <v>39</v>
      </c>
      <c r="C22" s="118">
        <v>39</v>
      </c>
      <c r="D22" s="58">
        <f t="shared" si="0"/>
        <v>77.78174593052022</v>
      </c>
      <c r="E22" s="59">
        <f t="shared" si="1"/>
        <v>2.2069445465178683</v>
      </c>
      <c r="F22" s="189">
        <f>F21+$F17</f>
        <v>16.159999999999997</v>
      </c>
      <c r="G22" s="119">
        <f t="shared" si="4"/>
        <v>0.07063651264140518</v>
      </c>
      <c r="H22" s="119">
        <f t="shared" si="5"/>
        <v>0.0941820168552069</v>
      </c>
      <c r="I22" s="189">
        <f t="shared" si="6"/>
        <v>0.8463651264140518</v>
      </c>
      <c r="J22" s="189">
        <f t="shared" si="7"/>
        <v>0.7063651264140518</v>
      </c>
      <c r="K22" s="139">
        <f t="shared" si="8"/>
        <v>35.97105099880429</v>
      </c>
      <c r="L22" s="59">
        <f t="shared" si="9"/>
        <v>1.032835760617529</v>
      </c>
      <c r="M22" s="120">
        <f t="shared" si="10"/>
        <v>1.152835760617529</v>
      </c>
      <c r="N22" s="134">
        <f t="shared" si="2"/>
        <v>0.09063651264140518</v>
      </c>
      <c r="O22" s="60"/>
      <c r="P22" s="118">
        <v>1</v>
      </c>
      <c r="Q22" s="118"/>
      <c r="R22" s="104">
        <v>4</v>
      </c>
      <c r="S22" s="266">
        <f t="shared" si="11"/>
        <v>59.78428095119067</v>
      </c>
      <c r="T22" s="263">
        <f t="shared" si="12"/>
        <v>22</v>
      </c>
      <c r="U22" s="264">
        <f t="shared" si="13"/>
        <v>6.358420540515495</v>
      </c>
      <c r="V22" s="265">
        <f t="shared" si="14"/>
        <v>0.3816370589932242</v>
      </c>
      <c r="W22" s="265">
        <f t="shared" si="3"/>
        <v>0.4399648491842904</v>
      </c>
      <c r="X22" s="61"/>
      <c r="Y22" s="158"/>
    </row>
    <row r="23" spans="1:25" s="3" customFormat="1" ht="15.75">
      <c r="A23" s="56" t="s">
        <v>7</v>
      </c>
      <c r="B23" s="56" t="s">
        <v>40</v>
      </c>
      <c r="C23" s="118">
        <v>40</v>
      </c>
      <c r="D23" s="58">
        <f t="shared" si="0"/>
        <v>82.4068892282175</v>
      </c>
      <c r="E23" s="59">
        <f t="shared" si="1"/>
        <v>2.0830782669711643</v>
      </c>
      <c r="F23" s="189">
        <f>F22+F15</f>
        <v>16.239999999999995</v>
      </c>
      <c r="G23" s="119">
        <f t="shared" si="4"/>
        <v>0.06725738840693465</v>
      </c>
      <c r="H23" s="119">
        <f t="shared" si="5"/>
        <v>0.08967651787591287</v>
      </c>
      <c r="I23" s="189">
        <f t="shared" si="6"/>
        <v>0.8125738840693465</v>
      </c>
      <c r="J23" s="189">
        <f t="shared" si="7"/>
        <v>0.6725738840693465</v>
      </c>
      <c r="K23" s="139">
        <f t="shared" si="8"/>
        <v>34.145300444264635</v>
      </c>
      <c r="L23" s="59">
        <f t="shared" si="9"/>
        <v>0.9742817450786475</v>
      </c>
      <c r="M23" s="120">
        <f t="shared" si="10"/>
        <v>1.0942817450786475</v>
      </c>
      <c r="N23" s="134">
        <f t="shared" si="2"/>
        <v>0.08725738840693466</v>
      </c>
      <c r="O23" s="60"/>
      <c r="P23" s="118">
        <v>1</v>
      </c>
      <c r="Q23" s="118"/>
      <c r="R23" s="104">
        <v>5</v>
      </c>
      <c r="S23" s="266">
        <f t="shared" si="11"/>
        <v>54.65159733018353</v>
      </c>
      <c r="T23" s="263">
        <f t="shared" si="12"/>
        <v>19</v>
      </c>
      <c r="U23" s="264">
        <f t="shared" si="13"/>
        <v>5.1879435158505345</v>
      </c>
      <c r="V23" s="265">
        <f t="shared" si="14"/>
        <v>0.36586781256569506</v>
      </c>
      <c r="W23" s="265">
        <f t="shared" si="3"/>
        <v>0.4003624684024963</v>
      </c>
      <c r="X23" s="61"/>
      <c r="Y23" s="158"/>
    </row>
    <row r="24" spans="1:25" s="3" customFormat="1" ht="15.75">
      <c r="A24" s="56" t="s">
        <v>8</v>
      </c>
      <c r="B24" s="56" t="s">
        <v>30</v>
      </c>
      <c r="C24" s="118">
        <v>41</v>
      </c>
      <c r="D24" s="58">
        <f t="shared" si="0"/>
        <v>87.30705785825096</v>
      </c>
      <c r="E24" s="59">
        <f t="shared" si="1"/>
        <v>1.9661640674995815</v>
      </c>
      <c r="F24" s="189">
        <f>F23+F15</f>
        <v>16.319999999999993</v>
      </c>
      <c r="G24" s="119">
        <f t="shared" si="4"/>
        <v>0.06407069984407462</v>
      </c>
      <c r="H24" s="119">
        <f t="shared" si="5"/>
        <v>0.0854275997920995</v>
      </c>
      <c r="I24" s="189">
        <f t="shared" si="6"/>
        <v>0.7807069984407463</v>
      </c>
      <c r="J24" s="189">
        <f t="shared" si="7"/>
        <v>0.6407069984407463</v>
      </c>
      <c r="K24" s="139">
        <f t="shared" si="8"/>
        <v>32.42018239987572</v>
      </c>
      <c r="L24" s="59">
        <f t="shared" si="9"/>
        <v>0.9190113339057161</v>
      </c>
      <c r="M24" s="120">
        <f t="shared" si="10"/>
        <v>1.039011333905716</v>
      </c>
      <c r="N24" s="134">
        <f t="shared" si="2"/>
        <v>0.08407069984407463</v>
      </c>
      <c r="O24" s="60"/>
      <c r="P24" s="118">
        <v>1</v>
      </c>
      <c r="Q24" s="118"/>
      <c r="R24" s="104">
        <v>6</v>
      </c>
      <c r="S24" s="266">
        <f t="shared" si="11"/>
        <v>50.02044376326549</v>
      </c>
      <c r="T24" s="263">
        <f t="shared" si="12"/>
        <v>19</v>
      </c>
      <c r="U24" s="264">
        <f t="shared" si="13"/>
        <v>5.668270384442714</v>
      </c>
      <c r="V24" s="265">
        <f t="shared" si="14"/>
        <v>0.3509965992723483</v>
      </c>
      <c r="W24" s="265">
        <f t="shared" si="3"/>
        <v>0.3646894448063327</v>
      </c>
      <c r="X24" s="61"/>
      <c r="Y24" s="158"/>
    </row>
    <row r="25" spans="1:25" s="3" customFormat="1" ht="15.75">
      <c r="A25" s="56" t="s">
        <v>64</v>
      </c>
      <c r="B25" s="56" t="s">
        <v>31</v>
      </c>
      <c r="C25" s="118">
        <v>42</v>
      </c>
      <c r="D25" s="58">
        <f t="shared" si="0"/>
        <v>92.49860567790861</v>
      </c>
      <c r="E25" s="59">
        <f t="shared" si="1"/>
        <v>1.8558117578306097</v>
      </c>
      <c r="F25" s="189">
        <f>F24+F15</f>
        <v>16.39999999999999</v>
      </c>
      <c r="G25" s="119">
        <f t="shared" si="4"/>
        <v>0.06106390864310535</v>
      </c>
      <c r="H25" s="119">
        <f t="shared" si="5"/>
        <v>0.0814185448574738</v>
      </c>
      <c r="I25" s="189">
        <f t="shared" si="6"/>
        <v>0.7506390864310535</v>
      </c>
      <c r="J25" s="189">
        <f t="shared" si="7"/>
        <v>0.6106390864310535</v>
      </c>
      <c r="K25" s="139">
        <f t="shared" si="8"/>
        <v>30.789733698007666</v>
      </c>
      <c r="L25" s="59">
        <f t="shared" si="9"/>
        <v>0.8668419702721994</v>
      </c>
      <c r="M25" s="120">
        <f t="shared" si="10"/>
        <v>0.9868419702721994</v>
      </c>
      <c r="N25" s="134">
        <f t="shared" si="2"/>
        <v>0.08106390864310535</v>
      </c>
      <c r="O25" s="60"/>
      <c r="P25" s="118">
        <v>1</v>
      </c>
      <c r="Q25" s="118"/>
      <c r="R25" s="104">
        <v>7</v>
      </c>
      <c r="S25" s="266">
        <f t="shared" si="11"/>
        <v>45.836956597769905</v>
      </c>
      <c r="T25" s="263">
        <f t="shared" si="12"/>
        <v>19</v>
      </c>
      <c r="U25" s="264">
        <f t="shared" si="13"/>
        <v>6.185607008947764</v>
      </c>
      <c r="V25" s="265">
        <f t="shared" si="14"/>
        <v>0.33696490700115833</v>
      </c>
      <c r="W25" s="265">
        <f t="shared" si="3"/>
        <v>0.33253111273761154</v>
      </c>
      <c r="X25" s="61"/>
      <c r="Y25" s="158"/>
    </row>
    <row r="26" spans="1:25" s="3" customFormat="1" ht="15.75">
      <c r="A26" s="56" t="s">
        <v>9</v>
      </c>
      <c r="B26" s="56" t="s">
        <v>32</v>
      </c>
      <c r="C26" s="118">
        <v>43</v>
      </c>
      <c r="D26" s="58">
        <f t="shared" si="0"/>
        <v>97.99885899543735</v>
      </c>
      <c r="E26" s="59">
        <f t="shared" si="1"/>
        <v>1.751653047388972</v>
      </c>
      <c r="F26" s="189">
        <f>F25+F15</f>
        <v>16.47999999999999</v>
      </c>
      <c r="G26" s="119">
        <f t="shared" si="4"/>
        <v>0.05822538918265491</v>
      </c>
      <c r="H26" s="119">
        <f t="shared" si="5"/>
        <v>0.07763385224353987</v>
      </c>
      <c r="I26" s="189">
        <f t="shared" si="6"/>
        <v>0.7222538918265491</v>
      </c>
      <c r="J26" s="189">
        <f t="shared" si="7"/>
        <v>0.5822538918265491</v>
      </c>
      <c r="K26" s="139">
        <f t="shared" si="8"/>
        <v>29.24836649668263</v>
      </c>
      <c r="L26" s="59">
        <f t="shared" si="9"/>
        <v>0.817601134511831</v>
      </c>
      <c r="M26" s="120">
        <f t="shared" si="10"/>
        <v>0.937601134511831</v>
      </c>
      <c r="N26" s="134">
        <f t="shared" si="2"/>
        <v>0.07822538918265491</v>
      </c>
      <c r="O26" s="60"/>
      <c r="P26" s="118">
        <v>1</v>
      </c>
      <c r="Q26" s="118"/>
      <c r="R26" s="104">
        <v>8</v>
      </c>
      <c r="S26" s="266">
        <f t="shared" si="11"/>
        <v>42.05351394028796</v>
      </c>
      <c r="T26" s="263">
        <f t="shared" si="12"/>
        <v>19</v>
      </c>
      <c r="U26" s="264">
        <f t="shared" si="13"/>
        <v>6.742109598797978</v>
      </c>
      <c r="V26" s="265">
        <f t="shared" si="14"/>
        <v>0.3237184828523896</v>
      </c>
      <c r="W26" s="265">
        <f t="shared" si="3"/>
        <v>0.3035188167848492</v>
      </c>
      <c r="X26" s="61"/>
      <c r="Y26" s="158"/>
    </row>
    <row r="27" spans="1:25" s="3" customFormat="1" ht="15.75">
      <c r="A27" s="56" t="s">
        <v>65</v>
      </c>
      <c r="B27" s="56" t="s">
        <v>33</v>
      </c>
      <c r="C27" s="118">
        <v>44</v>
      </c>
      <c r="D27" s="58">
        <f t="shared" si="0"/>
        <v>103.82617439498628</v>
      </c>
      <c r="E27" s="59">
        <f t="shared" si="1"/>
        <v>1.6533403161610603</v>
      </c>
      <c r="F27" s="189">
        <f>F26+F15</f>
        <v>16.559999999999988</v>
      </c>
      <c r="G27" s="119">
        <f t="shared" si="4"/>
        <v>0.05554435550513126</v>
      </c>
      <c r="H27" s="119">
        <f t="shared" si="5"/>
        <v>0.07405914067350834</v>
      </c>
      <c r="I27" s="189">
        <f t="shared" si="6"/>
        <v>0.6954435550513126</v>
      </c>
      <c r="J27" s="189">
        <f t="shared" si="7"/>
        <v>0.5554435550513126</v>
      </c>
      <c r="K27" s="139">
        <f t="shared" si="8"/>
        <v>27.79084333825652</v>
      </c>
      <c r="L27" s="59">
        <f t="shared" si="9"/>
        <v>0.7711258025753989</v>
      </c>
      <c r="M27" s="120">
        <f t="shared" si="10"/>
        <v>0.8911258025753989</v>
      </c>
      <c r="N27" s="134">
        <f t="shared" si="2"/>
        <v>0.07554435550513126</v>
      </c>
      <c r="O27" s="60"/>
      <c r="P27" s="118">
        <v>1</v>
      </c>
      <c r="Q27" s="118"/>
      <c r="R27" s="104">
        <v>9</v>
      </c>
      <c r="S27" s="266">
        <f t="shared" si="11"/>
        <v>38.627964055522426</v>
      </c>
      <c r="T27" s="263">
        <f t="shared" si="12"/>
        <v>17</v>
      </c>
      <c r="U27" s="264">
        <f t="shared" si="13"/>
        <v>5.876069462883065</v>
      </c>
      <c r="V27" s="265">
        <f t="shared" si="14"/>
        <v>0.3112069923572792</v>
      </c>
      <c r="W27" s="265">
        <f t="shared" si="3"/>
        <v>0.27732458083145645</v>
      </c>
      <c r="X27" s="61"/>
      <c r="Y27" s="158"/>
    </row>
    <row r="28" spans="1:25" s="3" customFormat="1" ht="15.75">
      <c r="A28" s="56" t="s">
        <v>10</v>
      </c>
      <c r="B28" s="56" t="s">
        <v>34</v>
      </c>
      <c r="C28" s="118">
        <v>45</v>
      </c>
      <c r="D28" s="58">
        <f aca="true" t="shared" si="15" ref="D28:D36">$A$11*POWER(2,(C28-69)/12)</f>
        <v>110</v>
      </c>
      <c r="E28" s="59">
        <f t="shared" si="1"/>
        <v>1.5605454545454545</v>
      </c>
      <c r="F28" s="189">
        <f>F27+F15</f>
        <v>16.639999999999986</v>
      </c>
      <c r="G28" s="119">
        <f t="shared" si="4"/>
        <v>0.053010794638005634</v>
      </c>
      <c r="H28" s="119">
        <f t="shared" si="5"/>
        <v>0.07068105951734084</v>
      </c>
      <c r="I28" s="189">
        <f t="shared" si="6"/>
        <v>0.6701079463800563</v>
      </c>
      <c r="J28" s="189">
        <f t="shared" si="7"/>
        <v>0.5301079463800563</v>
      </c>
      <c r="K28" s="139">
        <f t="shared" si="8"/>
        <v>26.412253961140383</v>
      </c>
      <c r="L28" s="59">
        <f t="shared" si="9"/>
        <v>0.7272619326347216</v>
      </c>
      <c r="M28" s="120">
        <f t="shared" si="10"/>
        <v>0.8472619326347216</v>
      </c>
      <c r="N28" s="134">
        <f t="shared" si="2"/>
        <v>0.07301079463800564</v>
      </c>
      <c r="O28" s="60"/>
      <c r="P28" s="118">
        <v>1</v>
      </c>
      <c r="Q28" s="118"/>
      <c r="R28" s="104">
        <v>10</v>
      </c>
      <c r="S28" s="266">
        <f t="shared" si="11"/>
        <v>35.52295473084886</v>
      </c>
      <c r="T28" s="263">
        <f t="shared" si="12"/>
        <v>17</v>
      </c>
      <c r="U28" s="264">
        <f t="shared" si="13"/>
        <v>6.389688068455787</v>
      </c>
      <c r="V28" s="265">
        <f t="shared" si="14"/>
        <v>0.29938370831069294</v>
      </c>
      <c r="W28" s="265">
        <f t="shared" si="3"/>
        <v>0.25365641930266747</v>
      </c>
      <c r="X28" s="61"/>
      <c r="Y28" s="158"/>
    </row>
    <row r="29" spans="1:25" s="3" customFormat="1" ht="15.75">
      <c r="A29" s="56" t="s">
        <v>66</v>
      </c>
      <c r="B29" s="56" t="s">
        <v>35</v>
      </c>
      <c r="C29" s="118">
        <v>46</v>
      </c>
      <c r="D29" s="58">
        <f t="shared" si="15"/>
        <v>116.54094037952248</v>
      </c>
      <c r="E29" s="59">
        <f t="shared" si="1"/>
        <v>1.4729587683176317</v>
      </c>
      <c r="F29" s="189">
        <f>F28+F15</f>
        <v>16.719999999999985</v>
      </c>
      <c r="G29" s="119">
        <f t="shared" si="4"/>
        <v>0.05061540566748753</v>
      </c>
      <c r="H29" s="119">
        <f t="shared" si="5"/>
        <v>0.06748720755665004</v>
      </c>
      <c r="I29" s="189">
        <f t="shared" si="6"/>
        <v>0.6461540566748754</v>
      </c>
      <c r="J29" s="189">
        <f t="shared" si="7"/>
        <v>0.5061540566748753</v>
      </c>
      <c r="K29" s="139">
        <f t="shared" si="8"/>
        <v>25.107993733682434</v>
      </c>
      <c r="L29" s="59">
        <f t="shared" si="9"/>
        <v>0.6858639784913283</v>
      </c>
      <c r="M29" s="120">
        <f t="shared" si="10"/>
        <v>0.8058639784913283</v>
      </c>
      <c r="N29" s="134">
        <f t="shared" si="2"/>
        <v>0.07061540566748753</v>
      </c>
      <c r="O29" s="60"/>
      <c r="P29" s="118">
        <v>1</v>
      </c>
      <c r="Q29" s="118"/>
      <c r="R29" s="104">
        <v>11</v>
      </c>
      <c r="S29" s="266">
        <f t="shared" si="11"/>
        <v>32.70534970229155</v>
      </c>
      <c r="T29" s="263">
        <f t="shared" si="12"/>
        <v>17</v>
      </c>
      <c r="U29" s="264">
        <f t="shared" si="13"/>
        <v>6.9401673446743875</v>
      </c>
      <c r="V29" s="265">
        <f t="shared" si="14"/>
        <v>0.2882052264482752</v>
      </c>
      <c r="W29" s="265">
        <f t="shared" si="3"/>
        <v>0.23225421040760122</v>
      </c>
      <c r="X29" s="61"/>
      <c r="Y29" s="158"/>
    </row>
    <row r="30" spans="1:25" ht="15.75">
      <c r="A30" s="56" t="s">
        <v>4</v>
      </c>
      <c r="B30" s="56" t="s">
        <v>36</v>
      </c>
      <c r="C30" s="57">
        <v>47</v>
      </c>
      <c r="D30" s="58">
        <f t="shared" si="15"/>
        <v>123.47082531403106</v>
      </c>
      <c r="E30" s="59">
        <f aca="true" t="shared" si="16" ref="E30:E36">0.5*$B$11/D30</f>
        <v>1.3902879450542782</v>
      </c>
      <c r="F30" s="189">
        <f>F29+F15</f>
        <v>16.799999999999983</v>
      </c>
      <c r="G30" s="119">
        <f t="shared" si="4"/>
        <v>0.04834954403042359</v>
      </c>
      <c r="H30" s="119">
        <f t="shared" si="5"/>
        <v>0.06446605870723145</v>
      </c>
      <c r="I30" s="189">
        <f t="shared" si="6"/>
        <v>0.6234954403042359</v>
      </c>
      <c r="J30" s="189">
        <f t="shared" si="7"/>
        <v>0.48349544030423586</v>
      </c>
      <c r="K30" s="139">
        <f t="shared" si="8"/>
        <v>23.873743589705906</v>
      </c>
      <c r="L30" s="59">
        <f t="shared" si="9"/>
        <v>0.6467944284967155</v>
      </c>
      <c r="M30" s="120">
        <f>L30+$E$5+$E$6</f>
        <v>0.7667944284967155</v>
      </c>
      <c r="N30" s="134">
        <f>G30+2*$E$7</f>
        <v>0.06834954403042359</v>
      </c>
      <c r="O30" s="60"/>
      <c r="P30" s="118">
        <v>1</v>
      </c>
      <c r="Q30" s="118"/>
      <c r="R30" s="104">
        <v>12</v>
      </c>
      <c r="S30" s="266">
        <f t="shared" si="11"/>
        <v>30.145720243757992</v>
      </c>
      <c r="T30" s="263">
        <f t="shared" si="12"/>
        <v>15</v>
      </c>
      <c r="U30" s="264">
        <f t="shared" si="13"/>
        <v>5.862026137411356</v>
      </c>
      <c r="V30" s="265">
        <f t="shared" si="14"/>
        <v>0.27763120547531006</v>
      </c>
      <c r="W30" s="265">
        <f t="shared" si="3"/>
        <v>0.21288606153529457</v>
      </c>
      <c r="X30" s="61"/>
      <c r="Y30" s="158"/>
    </row>
    <row r="31" spans="1:24" ht="15.75">
      <c r="A31" s="54"/>
      <c r="B31" s="54"/>
      <c r="C31" s="55"/>
      <c r="D31" s="62"/>
      <c r="E31" s="63"/>
      <c r="F31" s="193"/>
      <c r="G31" s="94"/>
      <c r="H31" s="150"/>
      <c r="I31" s="190"/>
      <c r="J31" s="190"/>
      <c r="K31" s="140"/>
      <c r="L31" s="63"/>
      <c r="M31" s="63"/>
      <c r="N31" s="135">
        <f>SUM(N19:N30)</f>
        <v>1.001479030647684</v>
      </c>
      <c r="O31" s="117">
        <f>N31+(11*0.004)</f>
        <v>1.045479030647684</v>
      </c>
      <c r="P31" s="55"/>
      <c r="Q31" s="55"/>
      <c r="R31" s="103"/>
      <c r="S31" s="197">
        <f>SUM(S19:S30)</f>
        <v>602.7332977124049</v>
      </c>
      <c r="T31" s="158"/>
      <c r="U31" s="158"/>
      <c r="V31" s="74" t="s">
        <v>93</v>
      </c>
      <c r="W31" s="74">
        <f>SUM(W19:W30)</f>
        <v>4.412341819123887</v>
      </c>
      <c r="X31" s="61"/>
    </row>
    <row r="32" spans="1:25" ht="15.75">
      <c r="A32" s="106" t="s">
        <v>5</v>
      </c>
      <c r="B32" s="106" t="s">
        <v>98</v>
      </c>
      <c r="C32" s="107">
        <v>48</v>
      </c>
      <c r="D32" s="108">
        <f t="shared" si="15"/>
        <v>130.8127826502993</v>
      </c>
      <c r="E32" s="66">
        <f t="shared" si="16"/>
        <v>1.3122570785677512</v>
      </c>
      <c r="F32" s="191">
        <f>F30+F15</f>
        <v>16.87999999999998</v>
      </c>
      <c r="G32" s="130">
        <f>$E$54*POWER(2,(69-C32)/F32)/$C$11</f>
        <v>0.046205170543252815</v>
      </c>
      <c r="H32" s="170">
        <f aca="true" t="shared" si="17" ref="H32:H47">G32*4/3</f>
        <v>0.06160689405767042</v>
      </c>
      <c r="I32" s="191">
        <f>J32+0.14</f>
        <v>0.6053850387658615</v>
      </c>
      <c r="J32" s="191">
        <f>G32*10+R32/300</f>
        <v>0.4653850387658615</v>
      </c>
      <c r="K32" s="141">
        <f>POWER(I32*(($G$11*$G$11)/((D32*D32)*($E$11*$E$11))*1000000),1/3)</f>
        <v>22.747278098021596</v>
      </c>
      <c r="L32" s="66">
        <f aca="true" t="shared" si="18" ref="L32:L74">0.5*E32-G32</f>
        <v>0.6099233687406228</v>
      </c>
      <c r="M32" s="132">
        <f aca="true" t="shared" si="19" ref="M32:M52">L32+$C$5+$C$6</f>
        <v>0.7099233687406228</v>
      </c>
      <c r="N32" s="136">
        <f aca="true" t="shared" si="20" ref="N32:N47">G32+2*$C$7</f>
        <v>0.056205170543252816</v>
      </c>
      <c r="O32" s="109">
        <f>P32*N32+O30</f>
        <v>0.056205170543252816</v>
      </c>
      <c r="P32" s="107">
        <v>1</v>
      </c>
      <c r="Q32" s="107">
        <v>1</v>
      </c>
      <c r="R32" s="110">
        <v>1</v>
      </c>
      <c r="S32" s="266">
        <f>I32*G32*1000</f>
        <v>27.971918960510347</v>
      </c>
      <c r="T32" s="263">
        <f>IF(S32&gt;=32.4,15,IF(S32&gt;=26,15,IF(S32&gt;=19,13,IF(S32&gt;=13.6,11,IF(S32&gt;=11.3,10,IF(S32&gt;=9.1,9,IF(S32&gt;=7.2,8)))))))</f>
        <v>15</v>
      </c>
      <c r="U32" s="264">
        <f aca="true" t="shared" si="21" ref="U32:U47">(3.1416*(T32*T32))/(4*S32)</f>
        <v>6.31758587065404</v>
      </c>
      <c r="V32" s="265">
        <f aca="true" t="shared" si="22" ref="V32:V47">2*(N32+H32+0.006)</f>
        <v>0.24762412920184648</v>
      </c>
      <c r="W32" s="265">
        <f aca="true" t="shared" si="23" ref="W32:W47">V32*M32</f>
        <v>0.17579415598443807</v>
      </c>
      <c r="X32" s="61"/>
      <c r="Y32" s="158"/>
    </row>
    <row r="33" spans="1:25" ht="15.75">
      <c r="A33" s="106" t="s">
        <v>62</v>
      </c>
      <c r="B33" s="106" t="s">
        <v>37</v>
      </c>
      <c r="C33" s="107">
        <v>49</v>
      </c>
      <c r="D33" s="108">
        <f t="shared" si="15"/>
        <v>138.59131548843604</v>
      </c>
      <c r="E33" s="66">
        <f t="shared" si="16"/>
        <v>1.2386057480948234</v>
      </c>
      <c r="F33" s="191">
        <f>F32+F15</f>
        <v>16.95999999999998</v>
      </c>
      <c r="G33" s="130">
        <f aca="true" t="shared" si="24" ref="G33:G47">$E$54*POWER(2,(69-C33)/F33)/$C$11</f>
        <v>0.04417480473426646</v>
      </c>
      <c r="H33" s="170">
        <f t="shared" si="17"/>
        <v>0.05889973964568861</v>
      </c>
      <c r="I33" s="191">
        <f aca="true" t="shared" si="25" ref="I33:I47">J33+0.14</f>
        <v>0.5884147140093312</v>
      </c>
      <c r="J33" s="191">
        <f aca="true" t="shared" si="26" ref="J33:J47">G33*10+R33/300</f>
        <v>0.44841471400933125</v>
      </c>
      <c r="K33" s="141">
        <f aca="true" t="shared" si="27" ref="K33:K47">POWER(I33*(($G$11*$G$11)/((D33*D33)*($E$11*$E$11))*1000000),1/3)</f>
        <v>21.681508508579427</v>
      </c>
      <c r="L33" s="66">
        <f t="shared" si="18"/>
        <v>0.5751280693131452</v>
      </c>
      <c r="M33" s="132">
        <f t="shared" si="19"/>
        <v>0.6751280693131452</v>
      </c>
      <c r="N33" s="136">
        <f t="shared" si="20"/>
        <v>0.05417480473426646</v>
      </c>
      <c r="O33" s="109">
        <f>P33*N33+O32</f>
        <v>0.11037997527751928</v>
      </c>
      <c r="P33" s="107">
        <v>1</v>
      </c>
      <c r="Q33" s="107"/>
      <c r="R33" s="110">
        <v>2</v>
      </c>
      <c r="S33" s="266">
        <f aca="true" t="shared" si="28" ref="S33:S47">I33*G33*1000</f>
        <v>25.993105094131447</v>
      </c>
      <c r="T33" s="263">
        <f aca="true" t="shared" si="29" ref="T33:T47">IF(S33&gt;=32.4,15,IF(S33&gt;=26,15,IF(S33&gt;=19,13,IF(S33&gt;=13.6,11,IF(S33&gt;=11.3,10,IF(S33&gt;=9.1,9,IF(S33&gt;=7.2,8)))))))</f>
        <v>13</v>
      </c>
      <c r="U33" s="264">
        <f t="shared" si="21"/>
        <v>5.106454173878883</v>
      </c>
      <c r="V33" s="265">
        <f t="shared" si="22"/>
        <v>0.23814908875991014</v>
      </c>
      <c r="W33" s="265">
        <f t="shared" si="23"/>
        <v>0.16078113450316298</v>
      </c>
      <c r="X33" s="61"/>
      <c r="Y33" s="158"/>
    </row>
    <row r="34" spans="1:25" ht="15.75">
      <c r="A34" s="106" t="s">
        <v>6</v>
      </c>
      <c r="B34" s="106" t="s">
        <v>38</v>
      </c>
      <c r="C34" s="107">
        <v>50</v>
      </c>
      <c r="D34" s="108">
        <f t="shared" si="15"/>
        <v>146.83238395870382</v>
      </c>
      <c r="E34" s="66">
        <f t="shared" si="16"/>
        <v>1.1690881491665959</v>
      </c>
      <c r="F34" s="191">
        <f>F33+F15</f>
        <v>17.039999999999978</v>
      </c>
      <c r="G34" s="130">
        <f t="shared" si="24"/>
        <v>0.042251482087872556</v>
      </c>
      <c r="H34" s="170">
        <f t="shared" si="17"/>
        <v>0.056335309450496744</v>
      </c>
      <c r="I34" s="191">
        <f t="shared" si="25"/>
        <v>0.5725148208787256</v>
      </c>
      <c r="J34" s="191">
        <f t="shared" si="26"/>
        <v>0.43251482087872556</v>
      </c>
      <c r="K34" s="141">
        <f t="shared" si="27"/>
        <v>20.672833645411895</v>
      </c>
      <c r="L34" s="66">
        <f t="shared" si="18"/>
        <v>0.5422925924954254</v>
      </c>
      <c r="M34" s="132">
        <f t="shared" si="19"/>
        <v>0.6422925924954255</v>
      </c>
      <c r="N34" s="136">
        <f t="shared" si="20"/>
        <v>0.05225148208787256</v>
      </c>
      <c r="O34" s="109">
        <f aca="true" t="shared" si="30" ref="O34:O47">P34*N34+O33</f>
        <v>0.16263145736539183</v>
      </c>
      <c r="P34" s="107">
        <v>1</v>
      </c>
      <c r="Q34" s="107">
        <v>2</v>
      </c>
      <c r="R34" s="110">
        <v>3</v>
      </c>
      <c r="S34" s="266">
        <f t="shared" si="28"/>
        <v>24.189599699399043</v>
      </c>
      <c r="T34" s="263">
        <f t="shared" si="29"/>
        <v>13</v>
      </c>
      <c r="U34" s="264">
        <f t="shared" si="21"/>
        <v>5.487176375361745</v>
      </c>
      <c r="V34" s="265">
        <f t="shared" si="22"/>
        <v>0.22917358307673863</v>
      </c>
      <c r="W34" s="265">
        <f t="shared" si="23"/>
        <v>0.14719649480582422</v>
      </c>
      <c r="X34" s="61"/>
      <c r="Y34" s="158"/>
    </row>
    <row r="35" spans="1:25" ht="15.75">
      <c r="A35" s="106" t="s">
        <v>63</v>
      </c>
      <c r="B35" s="106" t="s">
        <v>39</v>
      </c>
      <c r="C35" s="107">
        <v>51</v>
      </c>
      <c r="D35" s="108">
        <f t="shared" si="15"/>
        <v>155.56349186104046</v>
      </c>
      <c r="E35" s="66">
        <f t="shared" si="16"/>
        <v>1.103472273258934</v>
      </c>
      <c r="F35" s="191">
        <f>F34+F15</f>
        <v>17.119999999999976</v>
      </c>
      <c r="G35" s="130">
        <f t="shared" si="24"/>
        <v>0.04042871484760313</v>
      </c>
      <c r="H35" s="170">
        <f t="shared" si="17"/>
        <v>0.05390495313013751</v>
      </c>
      <c r="I35" s="191">
        <f t="shared" si="25"/>
        <v>0.5576204818093646</v>
      </c>
      <c r="J35" s="191">
        <f t="shared" si="26"/>
        <v>0.4176204818093646</v>
      </c>
      <c r="K35" s="141">
        <f t="shared" si="27"/>
        <v>19.71787529978782</v>
      </c>
      <c r="L35" s="66">
        <f t="shared" si="18"/>
        <v>0.5113074217818638</v>
      </c>
      <c r="M35" s="132">
        <f t="shared" si="19"/>
        <v>0.6113074217818639</v>
      </c>
      <c r="N35" s="136">
        <f t="shared" si="20"/>
        <v>0.05042871484760313</v>
      </c>
      <c r="O35" s="109">
        <f t="shared" si="30"/>
        <v>0.21306017221299497</v>
      </c>
      <c r="P35" s="107">
        <v>1</v>
      </c>
      <c r="Q35" s="107"/>
      <c r="R35" s="110">
        <v>4</v>
      </c>
      <c r="S35" s="266">
        <f t="shared" si="28"/>
        <v>22.543879452253872</v>
      </c>
      <c r="T35" s="263">
        <f t="shared" si="29"/>
        <v>13</v>
      </c>
      <c r="U35" s="264">
        <f t="shared" si="21"/>
        <v>5.887744400031813</v>
      </c>
      <c r="V35" s="265">
        <f t="shared" si="22"/>
        <v>0.2206673359554813</v>
      </c>
      <c r="W35" s="265">
        <f t="shared" si="23"/>
        <v>0.13489558021441767</v>
      </c>
      <c r="X35" s="61"/>
      <c r="Y35" s="158"/>
    </row>
    <row r="36" spans="1:25" ht="15.75">
      <c r="A36" s="106" t="s">
        <v>7</v>
      </c>
      <c r="B36" s="106" t="s">
        <v>40</v>
      </c>
      <c r="C36" s="107">
        <v>52</v>
      </c>
      <c r="D36" s="108">
        <f t="shared" si="15"/>
        <v>164.81377845643496</v>
      </c>
      <c r="E36" s="66">
        <f t="shared" si="16"/>
        <v>1.0415391334855824</v>
      </c>
      <c r="F36" s="191">
        <f>F35+F15</f>
        <v>17.199999999999974</v>
      </c>
      <c r="G36" s="130">
        <f t="shared" si="24"/>
        <v>0.038700456058710975</v>
      </c>
      <c r="H36" s="170">
        <f t="shared" si="17"/>
        <v>0.0516006080782813</v>
      </c>
      <c r="I36" s="191">
        <f t="shared" si="25"/>
        <v>0.5436712272537765</v>
      </c>
      <c r="J36" s="191">
        <f t="shared" si="26"/>
        <v>0.4036712272537764</v>
      </c>
      <c r="K36" s="141">
        <f t="shared" si="27"/>
        <v>18.813464189592768</v>
      </c>
      <c r="L36" s="66">
        <f t="shared" si="18"/>
        <v>0.4820691106840802</v>
      </c>
      <c r="M36" s="132">
        <f t="shared" si="19"/>
        <v>0.5820691106840803</v>
      </c>
      <c r="N36" s="136">
        <f t="shared" si="20"/>
        <v>0.04870045605871098</v>
      </c>
      <c r="O36" s="109">
        <f t="shared" si="30"/>
        <v>0.26176062827170593</v>
      </c>
      <c r="P36" s="107">
        <v>1</v>
      </c>
      <c r="Q36" s="107"/>
      <c r="R36" s="110">
        <v>5</v>
      </c>
      <c r="S36" s="266">
        <f t="shared" si="28"/>
        <v>21.040324440720244</v>
      </c>
      <c r="T36" s="263">
        <f t="shared" si="29"/>
        <v>13</v>
      </c>
      <c r="U36" s="264">
        <f t="shared" si="21"/>
        <v>6.308486372154836</v>
      </c>
      <c r="V36" s="265">
        <f t="shared" si="22"/>
        <v>0.21260212827398456</v>
      </c>
      <c r="W36" s="265">
        <f t="shared" si="23"/>
        <v>0.12374913173398096</v>
      </c>
      <c r="X36" s="61"/>
      <c r="Y36" s="158"/>
    </row>
    <row r="37" spans="1:25" ht="15.75">
      <c r="A37" s="106" t="s">
        <v>8</v>
      </c>
      <c r="B37" s="106" t="s">
        <v>30</v>
      </c>
      <c r="C37" s="107">
        <v>53</v>
      </c>
      <c r="D37" s="108">
        <f aca="true" t="shared" si="31" ref="D37:D53">$A$11*POWER(2,(C37-69)/12)</f>
        <v>174.61411571650197</v>
      </c>
      <c r="E37" s="66">
        <f aca="true" t="shared" si="32" ref="E37:E53">0.5*$B$11/D37</f>
        <v>0.9830820337497904</v>
      </c>
      <c r="F37" s="191">
        <f>F36+F15</f>
        <v>17.279999999999973</v>
      </c>
      <c r="G37" s="130">
        <f t="shared" si="24"/>
        <v>0.03706106656181153</v>
      </c>
      <c r="H37" s="170">
        <f t="shared" si="17"/>
        <v>0.04941475541574871</v>
      </c>
      <c r="I37" s="191">
        <f t="shared" si="25"/>
        <v>0.5306106656181153</v>
      </c>
      <c r="J37" s="191">
        <f t="shared" si="26"/>
        <v>0.3906106656181153</v>
      </c>
      <c r="K37" s="141">
        <f t="shared" si="27"/>
        <v>17.956626846564518</v>
      </c>
      <c r="L37" s="66">
        <f t="shared" si="18"/>
        <v>0.4544799503130837</v>
      </c>
      <c r="M37" s="132">
        <f t="shared" si="19"/>
        <v>0.5544799503130837</v>
      </c>
      <c r="N37" s="136">
        <f t="shared" si="20"/>
        <v>0.04706106656181153</v>
      </c>
      <c r="O37" s="109">
        <f t="shared" si="30"/>
        <v>0.30882169483351746</v>
      </c>
      <c r="P37" s="107">
        <v>1</v>
      </c>
      <c r="Q37" s="107">
        <v>3</v>
      </c>
      <c r="R37" s="110">
        <v>6</v>
      </c>
      <c r="S37" s="266">
        <f t="shared" si="28"/>
        <v>19.66499719688009</v>
      </c>
      <c r="T37" s="263">
        <f t="shared" si="29"/>
        <v>13</v>
      </c>
      <c r="U37" s="264">
        <f t="shared" si="21"/>
        <v>6.749688223757205</v>
      </c>
      <c r="V37" s="265">
        <f t="shared" si="22"/>
        <v>0.2049516439551205</v>
      </c>
      <c r="W37" s="265">
        <f t="shared" si="23"/>
        <v>0.11364157735682004</v>
      </c>
      <c r="X37" s="61">
        <f>N37+0.003</f>
        <v>0.050061066561811536</v>
      </c>
      <c r="Y37" s="158"/>
    </row>
    <row r="38" spans="1:25" ht="15.75">
      <c r="A38" s="106" t="s">
        <v>64</v>
      </c>
      <c r="B38" s="106" t="s">
        <v>31</v>
      </c>
      <c r="C38" s="107">
        <v>54</v>
      </c>
      <c r="D38" s="108">
        <f t="shared" si="31"/>
        <v>184.99721135581723</v>
      </c>
      <c r="E38" s="66">
        <f t="shared" si="32"/>
        <v>0.9279058789153048</v>
      </c>
      <c r="F38" s="191">
        <f>F37+F15</f>
        <v>17.35999999999997</v>
      </c>
      <c r="G38" s="130">
        <f t="shared" si="24"/>
        <v>0.03550528467651431</v>
      </c>
      <c r="H38" s="170">
        <f t="shared" si="17"/>
        <v>0.047340379568685746</v>
      </c>
      <c r="I38" s="191">
        <f t="shared" si="25"/>
        <v>0.5183861800984764</v>
      </c>
      <c r="J38" s="191">
        <f t="shared" si="26"/>
        <v>0.3783861800984764</v>
      </c>
      <c r="K38" s="141">
        <f t="shared" si="27"/>
        <v>17.14457336282343</v>
      </c>
      <c r="L38" s="66">
        <f t="shared" si="18"/>
        <v>0.4284476547811381</v>
      </c>
      <c r="M38" s="132">
        <f t="shared" si="19"/>
        <v>0.5284476547811381</v>
      </c>
      <c r="N38" s="136">
        <f t="shared" si="20"/>
        <v>0.04550528467651431</v>
      </c>
      <c r="O38" s="109">
        <f t="shared" si="30"/>
        <v>0.3543269795100318</v>
      </c>
      <c r="P38" s="107">
        <v>1</v>
      </c>
      <c r="Q38" s="107"/>
      <c r="R38" s="110">
        <v>7</v>
      </c>
      <c r="S38" s="266">
        <f t="shared" si="28"/>
        <v>18.405448896767222</v>
      </c>
      <c r="T38" s="263">
        <f t="shared" si="29"/>
        <v>11</v>
      </c>
      <c r="U38" s="264">
        <f t="shared" si="21"/>
        <v>5.163329649443752</v>
      </c>
      <c r="V38" s="265">
        <f t="shared" si="22"/>
        <v>0.1976913284904001</v>
      </c>
      <c r="W38" s="265">
        <f t="shared" si="23"/>
        <v>0.10446951891131953</v>
      </c>
      <c r="X38" s="61">
        <f aca="true" t="shared" si="33" ref="X38:X72">N38+0.003</f>
        <v>0.04850528467651431</v>
      </c>
      <c r="Y38" s="158"/>
    </row>
    <row r="39" spans="1:25" ht="15.75">
      <c r="A39" s="106" t="s">
        <v>9</v>
      </c>
      <c r="B39" s="106" t="s">
        <v>32</v>
      </c>
      <c r="C39" s="107">
        <v>55</v>
      </c>
      <c r="D39" s="108">
        <f t="shared" si="31"/>
        <v>195.99771799087463</v>
      </c>
      <c r="E39" s="66">
        <f t="shared" si="32"/>
        <v>0.8758265236944862</v>
      </c>
      <c r="F39" s="191">
        <f>F38+F15</f>
        <v>17.43999999999997</v>
      </c>
      <c r="G39" s="130">
        <f t="shared" si="24"/>
        <v>0.03402819833869293</v>
      </c>
      <c r="H39" s="170">
        <f t="shared" si="17"/>
        <v>0.04537093111825724</v>
      </c>
      <c r="I39" s="191">
        <f t="shared" si="25"/>
        <v>0.506948650053596</v>
      </c>
      <c r="J39" s="191">
        <f t="shared" si="26"/>
        <v>0.36694865005359595</v>
      </c>
      <c r="K39" s="141">
        <f t="shared" si="27"/>
        <v>16.374685933668736</v>
      </c>
      <c r="L39" s="66">
        <f t="shared" si="18"/>
        <v>0.4038850635085502</v>
      </c>
      <c r="M39" s="132">
        <f t="shared" si="19"/>
        <v>0.5038850635085502</v>
      </c>
      <c r="N39" s="136">
        <f t="shared" si="20"/>
        <v>0.04402819833869293</v>
      </c>
      <c r="O39" s="109">
        <f t="shared" si="30"/>
        <v>0.3983551778487247</v>
      </c>
      <c r="P39" s="107">
        <v>1</v>
      </c>
      <c r="Q39" s="107">
        <v>4</v>
      </c>
      <c r="R39" s="110">
        <v>8</v>
      </c>
      <c r="S39" s="266">
        <f t="shared" si="28"/>
        <v>17.2505492115564</v>
      </c>
      <c r="T39" s="263">
        <f t="shared" si="29"/>
        <v>11</v>
      </c>
      <c r="U39" s="264">
        <f t="shared" si="21"/>
        <v>5.50900721098988</v>
      </c>
      <c r="V39" s="265">
        <f t="shared" si="22"/>
        <v>0.19079825891390034</v>
      </c>
      <c r="W39" s="265">
        <f t="shared" si="23"/>
        <v>0.09614039281015148</v>
      </c>
      <c r="X39" s="61">
        <f t="shared" si="33"/>
        <v>0.047028198338692935</v>
      </c>
      <c r="Y39" s="158"/>
    </row>
    <row r="40" spans="1:25" ht="15.75">
      <c r="A40" s="106" t="s">
        <v>65</v>
      </c>
      <c r="B40" s="106" t="s">
        <v>33</v>
      </c>
      <c r="C40" s="107">
        <v>56</v>
      </c>
      <c r="D40" s="108">
        <f t="shared" si="31"/>
        <v>207.6523487899726</v>
      </c>
      <c r="E40" s="66">
        <f t="shared" si="32"/>
        <v>0.82667015808053</v>
      </c>
      <c r="F40" s="191">
        <f>F39+F15</f>
        <v>17.519999999999968</v>
      </c>
      <c r="G40" s="130">
        <f t="shared" si="24"/>
        <v>0.032625219477262116</v>
      </c>
      <c r="H40" s="170">
        <f t="shared" si="17"/>
        <v>0.04350029263634949</v>
      </c>
      <c r="I40" s="191">
        <f t="shared" si="25"/>
        <v>0.49625219477262117</v>
      </c>
      <c r="J40" s="191">
        <f t="shared" si="26"/>
        <v>0.35625219477262116</v>
      </c>
      <c r="K40" s="141">
        <f t="shared" si="27"/>
        <v>15.64450813872269</v>
      </c>
      <c r="L40" s="66">
        <f t="shared" si="18"/>
        <v>0.3807098595630029</v>
      </c>
      <c r="M40" s="132">
        <f t="shared" si="19"/>
        <v>0.4807098595630029</v>
      </c>
      <c r="N40" s="136">
        <f t="shared" si="20"/>
        <v>0.04262521947726212</v>
      </c>
      <c r="O40" s="109">
        <f t="shared" si="30"/>
        <v>0.4409803973259868</v>
      </c>
      <c r="P40" s="107">
        <v>1</v>
      </c>
      <c r="Q40" s="107"/>
      <c r="R40" s="110">
        <v>9</v>
      </c>
      <c r="S40" s="266">
        <f t="shared" si="28"/>
        <v>16.190336770529793</v>
      </c>
      <c r="T40" s="263">
        <f t="shared" si="29"/>
        <v>11</v>
      </c>
      <c r="U40" s="264">
        <f t="shared" si="21"/>
        <v>5.869760545869747</v>
      </c>
      <c r="V40" s="265">
        <f t="shared" si="22"/>
        <v>0.18425102422722323</v>
      </c>
      <c r="W40" s="265">
        <f t="shared" si="23"/>
        <v>0.08857128398060791</v>
      </c>
      <c r="X40" s="61">
        <f t="shared" si="33"/>
        <v>0.04562521947726212</v>
      </c>
      <c r="Y40" s="158"/>
    </row>
    <row r="41" spans="1:25" ht="15.75">
      <c r="A41" s="106" t="s">
        <v>10</v>
      </c>
      <c r="B41" s="106" t="s">
        <v>34</v>
      </c>
      <c r="C41" s="107">
        <v>57</v>
      </c>
      <c r="D41" s="108">
        <f t="shared" si="31"/>
        <v>220</v>
      </c>
      <c r="E41" s="66">
        <f t="shared" si="32"/>
        <v>0.7802727272727272</v>
      </c>
      <c r="F41" s="191">
        <f>F40+F15</f>
        <v>17.599999999999966</v>
      </c>
      <c r="G41" s="130">
        <f t="shared" si="24"/>
        <v>0.03129206043632758</v>
      </c>
      <c r="H41" s="170">
        <f t="shared" si="17"/>
        <v>0.041722747248436776</v>
      </c>
      <c r="I41" s="191">
        <f t="shared" si="25"/>
        <v>0.4862539376966092</v>
      </c>
      <c r="J41" s="191">
        <f t="shared" si="26"/>
        <v>0.34625393769660917</v>
      </c>
      <c r="K41" s="141">
        <f t="shared" si="27"/>
        <v>14.951734908225468</v>
      </c>
      <c r="L41" s="66">
        <f t="shared" si="18"/>
        <v>0.358844303200036</v>
      </c>
      <c r="M41" s="132">
        <f t="shared" si="19"/>
        <v>0.458844303200036</v>
      </c>
      <c r="N41" s="136">
        <f t="shared" si="20"/>
        <v>0.041292060436327584</v>
      </c>
      <c r="O41" s="109">
        <f t="shared" si="30"/>
        <v>0.4822724577623144</v>
      </c>
      <c r="P41" s="107">
        <v>1</v>
      </c>
      <c r="Q41" s="107"/>
      <c r="R41" s="110">
        <v>10</v>
      </c>
      <c r="S41" s="266">
        <f t="shared" si="28"/>
        <v>15.215887605804562</v>
      </c>
      <c r="T41" s="263">
        <f t="shared" si="29"/>
        <v>11</v>
      </c>
      <c r="U41" s="264">
        <f t="shared" si="21"/>
        <v>6.245669162523692</v>
      </c>
      <c r="V41" s="265">
        <f t="shared" si="22"/>
        <v>0.17802961536952872</v>
      </c>
      <c r="W41" s="265">
        <f t="shared" si="23"/>
        <v>0.08168787481320182</v>
      </c>
      <c r="X41" s="61">
        <f t="shared" si="33"/>
        <v>0.044292060436327586</v>
      </c>
      <c r="Y41" s="158"/>
    </row>
    <row r="42" spans="1:25" ht="15.75">
      <c r="A42" s="106" t="s">
        <v>66</v>
      </c>
      <c r="B42" s="106" t="s">
        <v>35</v>
      </c>
      <c r="C42" s="107">
        <v>58</v>
      </c>
      <c r="D42" s="108">
        <f t="shared" si="31"/>
        <v>233.08188075904496</v>
      </c>
      <c r="E42" s="66">
        <f t="shared" si="32"/>
        <v>0.7364793841588159</v>
      </c>
      <c r="F42" s="191">
        <f>F41+F15</f>
        <v>17.679999999999964</v>
      </c>
      <c r="G42" s="130">
        <f t="shared" si="24"/>
        <v>0.030024712266587095</v>
      </c>
      <c r="H42" s="170">
        <f t="shared" si="17"/>
        <v>0.04003294968878279</v>
      </c>
      <c r="I42" s="191">
        <f t="shared" si="25"/>
        <v>0.47691378933253764</v>
      </c>
      <c r="J42" s="191">
        <f t="shared" si="26"/>
        <v>0.3369137893325376</v>
      </c>
      <c r="K42" s="141">
        <f t="shared" si="27"/>
        <v>14.294203125637374</v>
      </c>
      <c r="L42" s="66">
        <f t="shared" si="18"/>
        <v>0.33821497981282084</v>
      </c>
      <c r="M42" s="132">
        <f t="shared" si="19"/>
        <v>0.4382149798128208</v>
      </c>
      <c r="N42" s="136">
        <f t="shared" si="20"/>
        <v>0.0400247122665871</v>
      </c>
      <c r="O42" s="109">
        <f t="shared" si="30"/>
        <v>0.5222971700289015</v>
      </c>
      <c r="P42" s="107">
        <v>1</v>
      </c>
      <c r="Q42" s="107"/>
      <c r="R42" s="110">
        <v>11</v>
      </c>
      <c r="S42" s="266">
        <f t="shared" si="28"/>
        <v>14.319199300677177</v>
      </c>
      <c r="T42" s="263">
        <f t="shared" si="29"/>
        <v>11</v>
      </c>
      <c r="U42" s="264">
        <f t="shared" si="21"/>
        <v>6.636781708562833</v>
      </c>
      <c r="V42" s="265">
        <f t="shared" si="22"/>
        <v>0.1721153239107398</v>
      </c>
      <c r="W42" s="265">
        <f t="shared" si="23"/>
        <v>0.07542351319302196</v>
      </c>
      <c r="X42" s="61">
        <f t="shared" si="33"/>
        <v>0.0430247122665871</v>
      </c>
      <c r="Y42" s="158"/>
    </row>
    <row r="43" spans="1:25" ht="15.75">
      <c r="A43" s="106" t="s">
        <v>11</v>
      </c>
      <c r="B43" s="106" t="s">
        <v>36</v>
      </c>
      <c r="C43" s="107">
        <v>59</v>
      </c>
      <c r="D43" s="108">
        <f t="shared" si="31"/>
        <v>246.94165062806206</v>
      </c>
      <c r="E43" s="66">
        <f t="shared" si="32"/>
        <v>0.6951439725271392</v>
      </c>
      <c r="F43" s="191">
        <f>F42+F15</f>
        <v>17.759999999999962</v>
      </c>
      <c r="G43" s="130">
        <f t="shared" si="24"/>
        <v>0.028819424726094483</v>
      </c>
      <c r="H43" s="170">
        <f t="shared" si="17"/>
        <v>0.03842589963479264</v>
      </c>
      <c r="I43" s="191">
        <f t="shared" si="25"/>
        <v>0.46819424726094483</v>
      </c>
      <c r="J43" s="191">
        <f t="shared" si="26"/>
        <v>0.3281942472609448</v>
      </c>
      <c r="K43" s="141">
        <f t="shared" si="27"/>
        <v>13.669882821717254</v>
      </c>
      <c r="L43" s="66">
        <f t="shared" si="18"/>
        <v>0.3187525615374751</v>
      </c>
      <c r="M43" s="132">
        <f t="shared" si="19"/>
        <v>0.4187525615374751</v>
      </c>
      <c r="N43" s="136">
        <f t="shared" si="20"/>
        <v>0.03881942472609448</v>
      </c>
      <c r="O43" s="109">
        <f t="shared" si="30"/>
        <v>0.561116594754996</v>
      </c>
      <c r="P43" s="107">
        <v>1</v>
      </c>
      <c r="Q43" s="107"/>
      <c r="R43" s="110">
        <v>12</v>
      </c>
      <c r="S43" s="266">
        <f t="shared" si="28"/>
        <v>13.493088866127268</v>
      </c>
      <c r="T43" s="263">
        <f t="shared" si="29"/>
        <v>10</v>
      </c>
      <c r="U43" s="264">
        <f t="shared" si="21"/>
        <v>5.820757632239787</v>
      </c>
      <c r="V43" s="265">
        <f t="shared" si="22"/>
        <v>0.16649064872177427</v>
      </c>
      <c r="W43" s="265">
        <f t="shared" si="23"/>
        <v>0.06971838562427893</v>
      </c>
      <c r="X43" s="61">
        <f t="shared" si="33"/>
        <v>0.041819424726094484</v>
      </c>
      <c r="Y43" s="158"/>
    </row>
    <row r="44" spans="1:25" ht="15.75">
      <c r="A44" s="106" t="s">
        <v>12</v>
      </c>
      <c r="B44" s="106" t="s">
        <v>99</v>
      </c>
      <c r="C44" s="107">
        <v>60</v>
      </c>
      <c r="D44" s="108">
        <f t="shared" si="31"/>
        <v>261.6255653005986</v>
      </c>
      <c r="E44" s="66">
        <f t="shared" si="32"/>
        <v>0.6561285392838756</v>
      </c>
      <c r="F44" s="191">
        <f>F43+F15</f>
        <v>17.83999999999996</v>
      </c>
      <c r="G44" s="130">
        <f t="shared" si="24"/>
        <v>0.02767268784514122</v>
      </c>
      <c r="H44" s="170">
        <f t="shared" si="17"/>
        <v>0.03689691712685496</v>
      </c>
      <c r="I44" s="191">
        <f t="shared" si="25"/>
        <v>0.46006021178474554</v>
      </c>
      <c r="J44" s="191">
        <f t="shared" si="26"/>
        <v>0.32006021178474553</v>
      </c>
      <c r="K44" s="141">
        <f t="shared" si="27"/>
        <v>13.076868918934759</v>
      </c>
      <c r="L44" s="66">
        <f t="shared" si="18"/>
        <v>0.3003915817967966</v>
      </c>
      <c r="M44" s="132">
        <f t="shared" si="19"/>
        <v>0.40039158179679657</v>
      </c>
      <c r="N44" s="136">
        <f t="shared" si="20"/>
        <v>0.03767268784514122</v>
      </c>
      <c r="O44" s="109">
        <f t="shared" si="30"/>
        <v>0.5987892826001372</v>
      </c>
      <c r="P44" s="107">
        <v>1</v>
      </c>
      <c r="Q44" s="107">
        <v>5</v>
      </c>
      <c r="R44" s="110">
        <v>13</v>
      </c>
      <c r="S44" s="266">
        <f t="shared" si="28"/>
        <v>12.731102630688824</v>
      </c>
      <c r="T44" s="263">
        <f t="shared" si="29"/>
        <v>10</v>
      </c>
      <c r="U44" s="264">
        <f t="shared" si="21"/>
        <v>6.169143575252958</v>
      </c>
      <c r="V44" s="265">
        <f t="shared" si="22"/>
        <v>0.16113920994399236</v>
      </c>
      <c r="W44" s="265">
        <f t="shared" si="23"/>
        <v>0.06451878315896119</v>
      </c>
      <c r="X44" s="61">
        <f t="shared" si="33"/>
        <v>0.04067268784514122</v>
      </c>
      <c r="Y44" s="158"/>
    </row>
    <row r="45" spans="1:25" ht="15.75">
      <c r="A45" s="106" t="s">
        <v>67</v>
      </c>
      <c r="B45" s="106" t="s">
        <v>37</v>
      </c>
      <c r="C45" s="107">
        <v>61</v>
      </c>
      <c r="D45" s="108">
        <f t="shared" si="31"/>
        <v>277.1826309768721</v>
      </c>
      <c r="E45" s="66">
        <f t="shared" si="32"/>
        <v>0.6193028740474117</v>
      </c>
      <c r="F45" s="191">
        <f>F44+F15</f>
        <v>17.91999999999996</v>
      </c>
      <c r="G45" s="130">
        <f t="shared" si="24"/>
        <v>0.02658121492322557</v>
      </c>
      <c r="H45" s="170">
        <f t="shared" si="17"/>
        <v>0.03544161989763409</v>
      </c>
      <c r="I45" s="191">
        <f t="shared" si="25"/>
        <v>0.4524788158989224</v>
      </c>
      <c r="J45" s="191">
        <f t="shared" si="26"/>
        <v>0.3124788158989224</v>
      </c>
      <c r="K45" s="141">
        <f t="shared" si="27"/>
        <v>12.513373488461069</v>
      </c>
      <c r="L45" s="66">
        <f t="shared" si="18"/>
        <v>0.2830702221004803</v>
      </c>
      <c r="M45" s="132">
        <f t="shared" si="19"/>
        <v>0.38307022210048025</v>
      </c>
      <c r="N45" s="136">
        <f t="shared" si="20"/>
        <v>0.03658121492322557</v>
      </c>
      <c r="O45" s="109">
        <f t="shared" si="30"/>
        <v>0.6353704975233627</v>
      </c>
      <c r="P45" s="107">
        <v>1</v>
      </c>
      <c r="Q45" s="107"/>
      <c r="R45" s="110">
        <v>14</v>
      </c>
      <c r="S45" s="266">
        <f t="shared" si="28"/>
        <v>12.027436653615872</v>
      </c>
      <c r="T45" s="263">
        <f t="shared" si="29"/>
        <v>10</v>
      </c>
      <c r="U45" s="264">
        <f t="shared" si="21"/>
        <v>6.530069728231584</v>
      </c>
      <c r="V45" s="265">
        <f t="shared" si="22"/>
        <v>0.15604566964171934</v>
      </c>
      <c r="W45" s="265">
        <f t="shared" si="23"/>
        <v>0.059776449327471594</v>
      </c>
      <c r="X45" s="61">
        <f t="shared" si="33"/>
        <v>0.039581214923225576</v>
      </c>
      <c r="Y45" s="158"/>
    </row>
    <row r="46" spans="1:25" ht="15.75">
      <c r="A46" s="106" t="s">
        <v>13</v>
      </c>
      <c r="B46" s="106" t="s">
        <v>38</v>
      </c>
      <c r="C46" s="107">
        <v>62</v>
      </c>
      <c r="D46" s="108">
        <f t="shared" si="31"/>
        <v>293.6647679174076</v>
      </c>
      <c r="E46" s="66">
        <f t="shared" si="32"/>
        <v>0.584544074583298</v>
      </c>
      <c r="F46" s="191">
        <f>F45+F15</f>
        <v>17.999999999999957</v>
      </c>
      <c r="G46" s="130">
        <f t="shared" si="24"/>
        <v>0.025541926838015462</v>
      </c>
      <c r="H46" s="170">
        <f t="shared" si="17"/>
        <v>0.034055902450687285</v>
      </c>
      <c r="I46" s="191">
        <f t="shared" si="25"/>
        <v>0.4454192683801546</v>
      </c>
      <c r="J46" s="191">
        <f t="shared" si="26"/>
        <v>0.3054192683801546</v>
      </c>
      <c r="K46" s="141">
        <f t="shared" si="27"/>
        <v>11.977718485085108</v>
      </c>
      <c r="L46" s="66">
        <f t="shared" si="18"/>
        <v>0.26673011045363354</v>
      </c>
      <c r="M46" s="132">
        <f t="shared" si="19"/>
        <v>0.3667301104536335</v>
      </c>
      <c r="N46" s="136">
        <f t="shared" si="20"/>
        <v>0.035541926838015464</v>
      </c>
      <c r="O46" s="109">
        <f t="shared" si="30"/>
        <v>0.6709124243613782</v>
      </c>
      <c r="P46" s="107">
        <v>1</v>
      </c>
      <c r="Q46" s="107">
        <v>6</v>
      </c>
      <c r="R46" s="110">
        <v>15</v>
      </c>
      <c r="S46" s="266">
        <f t="shared" si="28"/>
        <v>11.376866365208283</v>
      </c>
      <c r="T46" s="263">
        <f t="shared" si="29"/>
        <v>10</v>
      </c>
      <c r="U46" s="264">
        <f t="shared" si="21"/>
        <v>6.903482688359952</v>
      </c>
      <c r="V46" s="265">
        <f t="shared" si="22"/>
        <v>0.15119565857740552</v>
      </c>
      <c r="W46" s="265">
        <f t="shared" si="23"/>
        <v>0.05544800057020179</v>
      </c>
      <c r="X46" s="61">
        <f t="shared" si="33"/>
        <v>0.03854192683801547</v>
      </c>
      <c r="Y46" s="158"/>
    </row>
    <row r="47" spans="1:25" ht="15.75">
      <c r="A47" s="106" t="s">
        <v>68</v>
      </c>
      <c r="B47" s="106" t="s">
        <v>39</v>
      </c>
      <c r="C47" s="107">
        <v>63</v>
      </c>
      <c r="D47" s="108">
        <f t="shared" si="31"/>
        <v>311.12698372208087</v>
      </c>
      <c r="E47" s="66">
        <f t="shared" si="32"/>
        <v>0.5517361366294671</v>
      </c>
      <c r="F47" s="191">
        <f>F46+F15</f>
        <v>18.079999999999956</v>
      </c>
      <c r="G47" s="130">
        <f t="shared" si="24"/>
        <v>0.02455193755699867</v>
      </c>
      <c r="H47" s="170">
        <f t="shared" si="17"/>
        <v>0.03273591674266489</v>
      </c>
      <c r="I47" s="191">
        <f t="shared" si="25"/>
        <v>0.43885270890332</v>
      </c>
      <c r="J47" s="191">
        <f t="shared" si="26"/>
        <v>0.29885270890332</v>
      </c>
      <c r="K47" s="141">
        <f t="shared" si="27"/>
        <v>11.468328928237494</v>
      </c>
      <c r="L47" s="66">
        <f t="shared" si="18"/>
        <v>0.25131613075773485</v>
      </c>
      <c r="M47" s="132">
        <f t="shared" si="19"/>
        <v>0.3513161307577348</v>
      </c>
      <c r="N47" s="136">
        <f t="shared" si="20"/>
        <v>0.03455193755699867</v>
      </c>
      <c r="O47" s="128">
        <f t="shared" si="30"/>
        <v>0.7054643619183769</v>
      </c>
      <c r="P47" s="107">
        <v>1</v>
      </c>
      <c r="Q47" s="107"/>
      <c r="R47" s="110">
        <v>16</v>
      </c>
      <c r="S47" s="266">
        <f t="shared" si="28"/>
        <v>10.774684305714027</v>
      </c>
      <c r="T47" s="263">
        <f t="shared" si="29"/>
        <v>9</v>
      </c>
      <c r="U47" s="264">
        <f t="shared" si="21"/>
        <v>5.904340043286692</v>
      </c>
      <c r="V47" s="265">
        <f t="shared" si="22"/>
        <v>0.14657570859932711</v>
      </c>
      <c r="W47" s="265">
        <f t="shared" si="23"/>
        <v>0.05149441080818884</v>
      </c>
      <c r="X47" s="61">
        <f t="shared" si="33"/>
        <v>0.03755193755699867</v>
      </c>
      <c r="Y47" s="158"/>
    </row>
    <row r="48" spans="1:24" ht="15.75">
      <c r="A48" s="121"/>
      <c r="B48" s="121"/>
      <c r="C48" s="122"/>
      <c r="D48" s="123"/>
      <c r="E48" s="124"/>
      <c r="F48" s="194"/>
      <c r="G48" s="125"/>
      <c r="H48" s="150"/>
      <c r="I48" s="190"/>
      <c r="J48" s="190"/>
      <c r="K48" s="140"/>
      <c r="L48" s="124"/>
      <c r="M48" s="124"/>
      <c r="N48" s="137">
        <f>SUM(N32:N47)</f>
        <v>0.7054643619183769</v>
      </c>
      <c r="O48" s="126">
        <f>N48+(15*0.003)</f>
        <v>0.750464361918377</v>
      </c>
      <c r="P48" s="122"/>
      <c r="Q48" s="122"/>
      <c r="R48" s="127"/>
      <c r="S48" s="196"/>
      <c r="T48" s="158"/>
      <c r="U48" s="158"/>
      <c r="W48" s="164">
        <f>SUM(W32:W47)</f>
        <v>1.6033066877960485</v>
      </c>
      <c r="X48" s="61"/>
    </row>
    <row r="49" spans="1:25" ht="15.75">
      <c r="A49" s="111" t="s">
        <v>14</v>
      </c>
      <c r="B49" s="111" t="s">
        <v>40</v>
      </c>
      <c r="C49" s="112">
        <v>64</v>
      </c>
      <c r="D49" s="113">
        <f t="shared" si="31"/>
        <v>329.6275569128699</v>
      </c>
      <c r="E49" s="67">
        <f t="shared" si="32"/>
        <v>0.5207695667427912</v>
      </c>
      <c r="F49" s="192">
        <f>F47+F15</f>
        <v>18.159999999999954</v>
      </c>
      <c r="G49" s="131">
        <f>$E$54*POWER(2,(69-C49)/F49)/$C$11</f>
        <v>0.02360854075227046</v>
      </c>
      <c r="H49" s="171">
        <f aca="true" t="shared" si="34" ref="H49:H74">G49*4/3</f>
        <v>0.03147805433636061</v>
      </c>
      <c r="I49" s="192">
        <f>J49+0.14</f>
        <v>0.4327520741893712</v>
      </c>
      <c r="J49" s="192">
        <f>G49*10+R49/300</f>
        <v>0.2927520741893712</v>
      </c>
      <c r="K49" s="142">
        <f>POWER(I49*(($G$11*$G$11)/((D49*D49)*($E$11*$E$11))*1000000),1/3)</f>
        <v>10.983726499890185</v>
      </c>
      <c r="L49" s="67">
        <f t="shared" si="18"/>
        <v>0.23677624261912514</v>
      </c>
      <c r="M49" s="133">
        <f>L49+$C$5+$C$6</f>
        <v>0.33677624261912514</v>
      </c>
      <c r="N49" s="138">
        <f>G49+2*$D$7</f>
        <v>0.03360854075227046</v>
      </c>
      <c r="O49" s="114">
        <f>P49*N49</f>
        <v>0.03360854075227046</v>
      </c>
      <c r="P49" s="112">
        <v>1</v>
      </c>
      <c r="Q49" s="112">
        <v>7</v>
      </c>
      <c r="R49" s="115">
        <v>17</v>
      </c>
      <c r="S49" s="266">
        <f>I49*G49*1000</f>
        <v>10.216644979129338</v>
      </c>
      <c r="T49" s="263">
        <f>IF(S49&gt;=13.6,11,IF(S49&gt;=11.3,10,IF(S49&gt;=9.1,9,IF(S49&gt;=7.2,8,IF(S49&gt;=5.6,7,IF(S49&gt;=4,6,IF(S49&lt;4,5,5)))))))</f>
        <v>9</v>
      </c>
      <c r="U49" s="264">
        <f aca="true" t="shared" si="35" ref="U49:U74">(3.1416*(T49*T49))/(4*S49)</f>
        <v>6.226838666701078</v>
      </c>
      <c r="V49" s="265">
        <f aca="true" t="shared" si="36" ref="V49:V74">2*(N49+H49+0.006)</f>
        <v>0.14217319017726215</v>
      </c>
      <c r="W49" s="265">
        <f aca="true" t="shared" si="37" ref="W49:W74">V49*M49</f>
        <v>0.04788055278907266</v>
      </c>
      <c r="X49" s="61">
        <f t="shared" si="33"/>
        <v>0.03660854075227046</v>
      </c>
      <c r="Y49" s="158"/>
    </row>
    <row r="50" spans="1:25" ht="15.75">
      <c r="A50" s="111" t="s">
        <v>15</v>
      </c>
      <c r="B50" s="111" t="s">
        <v>30</v>
      </c>
      <c r="C50" s="112">
        <v>65</v>
      </c>
      <c r="D50" s="113">
        <f t="shared" si="31"/>
        <v>349.2282314330039</v>
      </c>
      <c r="E50" s="67">
        <f t="shared" si="32"/>
        <v>0.49154101687489526</v>
      </c>
      <c r="F50" s="192">
        <f>F49+F15</f>
        <v>18.239999999999952</v>
      </c>
      <c r="G50" s="131">
        <f aca="true" t="shared" si="38" ref="G50:G74">$E$54*POWER(2,(69-C50)/F50)/$C$11</f>
        <v>0.022709197427737728</v>
      </c>
      <c r="H50" s="171">
        <f t="shared" si="34"/>
        <v>0.030278929903650303</v>
      </c>
      <c r="I50" s="192">
        <f aca="true" t="shared" si="39" ref="I50:I74">J50+0.14</f>
        <v>0.4270919742773773</v>
      </c>
      <c r="J50" s="192">
        <f aca="true" t="shared" si="40" ref="J50:J74">G50*10+R50/300</f>
        <v>0.28709197427737726</v>
      </c>
      <c r="K50" s="142">
        <f aca="true" t="shared" si="41" ref="K50:K74">POWER(I50*(($G$11*$G$11)/((D50*D50)*($E$11*$E$11))*1000000),1/3)</f>
        <v>10.522523532451753</v>
      </c>
      <c r="L50" s="67">
        <f t="shared" si="18"/>
        <v>0.2230613110097099</v>
      </c>
      <c r="M50" s="133">
        <f t="shared" si="19"/>
        <v>0.32306131100970986</v>
      </c>
      <c r="N50" s="138">
        <f>G50+2*$D$7</f>
        <v>0.03270919742773773</v>
      </c>
      <c r="O50" s="114">
        <f aca="true" t="shared" si="42" ref="O50:O74">P50*N50+O49</f>
        <v>0.06631773818000819</v>
      </c>
      <c r="P50" s="112">
        <v>1</v>
      </c>
      <c r="Q50" s="112">
        <v>8</v>
      </c>
      <c r="R50" s="115">
        <v>18</v>
      </c>
      <c r="S50" s="266">
        <f aca="true" t="shared" si="43" ref="S50:S74">I50*G50*1000</f>
        <v>9.698915963667243</v>
      </c>
      <c r="T50" s="263">
        <f aca="true" t="shared" si="44" ref="T50:T74">IF(S50&gt;=13.6,11,IF(S50&gt;=11.3,10,IF(S50&gt;=9.1,9,IF(S50&gt;=7.2,8,IF(S50&gt;=5.6,7,IF(S50&gt;=4,6,IF(S50&lt;4,5,5)))))))</f>
        <v>9</v>
      </c>
      <c r="U50" s="264">
        <f t="shared" si="35"/>
        <v>6.5592278805502415</v>
      </c>
      <c r="V50" s="265">
        <f t="shared" si="36"/>
        <v>0.13797625466277608</v>
      </c>
      <c r="W50" s="265">
        <f t="shared" si="37"/>
        <v>0.044574789719566035</v>
      </c>
      <c r="X50" s="61">
        <f t="shared" si="33"/>
        <v>0.03570919742773773</v>
      </c>
      <c r="Y50" s="158"/>
    </row>
    <row r="51" spans="1:25" ht="15.75">
      <c r="A51" s="111" t="s">
        <v>69</v>
      </c>
      <c r="B51" s="111" t="s">
        <v>31</v>
      </c>
      <c r="C51" s="112">
        <v>66</v>
      </c>
      <c r="D51" s="113">
        <f t="shared" si="31"/>
        <v>369.99442271163446</v>
      </c>
      <c r="E51" s="67">
        <f t="shared" si="32"/>
        <v>0.4639529394576524</v>
      </c>
      <c r="F51" s="192">
        <f>F50+F15</f>
        <v>18.31999999999995</v>
      </c>
      <c r="G51" s="131">
        <f t="shared" si="38"/>
        <v>0.021851524476014256</v>
      </c>
      <c r="H51" s="171">
        <f t="shared" si="34"/>
        <v>0.02913536596801901</v>
      </c>
      <c r="I51" s="192">
        <f t="shared" si="39"/>
        <v>0.4218485780934759</v>
      </c>
      <c r="J51" s="192">
        <f t="shared" si="40"/>
        <v>0.2818485780934759</v>
      </c>
      <c r="K51" s="142">
        <f t="shared" si="41"/>
        <v>10.0834173619129</v>
      </c>
      <c r="L51" s="67">
        <f t="shared" si="18"/>
        <v>0.21012494525281195</v>
      </c>
      <c r="M51" s="133">
        <f>L51+$C$5+$C$6</f>
        <v>0.3101249452528119</v>
      </c>
      <c r="N51" s="138">
        <f>G51+2*$D$7</f>
        <v>0.031851524476014255</v>
      </c>
      <c r="O51" s="114">
        <f t="shared" si="42"/>
        <v>0.09816926265602244</v>
      </c>
      <c r="P51" s="112">
        <v>1</v>
      </c>
      <c r="Q51" s="112">
        <v>9</v>
      </c>
      <c r="R51" s="115">
        <v>19</v>
      </c>
      <c r="S51" s="266">
        <f t="shared" si="43"/>
        <v>9.2180345293814</v>
      </c>
      <c r="T51" s="263">
        <f t="shared" si="44"/>
        <v>9</v>
      </c>
      <c r="U51" s="264">
        <f t="shared" si="35"/>
        <v>6.901406129172875</v>
      </c>
      <c r="V51" s="265">
        <f t="shared" si="36"/>
        <v>0.13397378088806652</v>
      </c>
      <c r="W51" s="265">
        <f t="shared" si="37"/>
        <v>0.041548611463223854</v>
      </c>
      <c r="X51" s="61">
        <f t="shared" si="33"/>
        <v>0.03485152447601426</v>
      </c>
      <c r="Y51" s="158"/>
    </row>
    <row r="52" spans="1:25" s="30" customFormat="1" ht="15.75">
      <c r="A52" s="111" t="s">
        <v>16</v>
      </c>
      <c r="B52" s="111" t="s">
        <v>32</v>
      </c>
      <c r="C52" s="112">
        <v>67</v>
      </c>
      <c r="D52" s="113">
        <f t="shared" si="31"/>
        <v>391.99543598174927</v>
      </c>
      <c r="E52" s="67">
        <f t="shared" si="32"/>
        <v>0.4379132618472431</v>
      </c>
      <c r="F52" s="192">
        <f>F51+F15</f>
        <v>18.39999999999995</v>
      </c>
      <c r="G52" s="131">
        <f t="shared" si="38"/>
        <v>0.02103328408952687</v>
      </c>
      <c r="H52" s="171">
        <f t="shared" si="34"/>
        <v>0.02804437878603583</v>
      </c>
      <c r="I52" s="192">
        <f t="shared" si="39"/>
        <v>0.4169995075619354</v>
      </c>
      <c r="J52" s="192">
        <f t="shared" si="40"/>
        <v>0.27699950756193537</v>
      </c>
      <c r="K52" s="142">
        <f t="shared" si="41"/>
        <v>9.665185023430295</v>
      </c>
      <c r="L52" s="67">
        <f t="shared" si="18"/>
        <v>0.19792334683409468</v>
      </c>
      <c r="M52" s="133">
        <f t="shared" si="19"/>
        <v>0.29792334683409466</v>
      </c>
      <c r="N52" s="138">
        <f>G52+2*$D$7</f>
        <v>0.031033284089526873</v>
      </c>
      <c r="O52" s="114">
        <f t="shared" si="42"/>
        <v>0.12920254674554932</v>
      </c>
      <c r="P52" s="112">
        <v>1</v>
      </c>
      <c r="Q52" s="112">
        <v>10</v>
      </c>
      <c r="R52" s="115">
        <v>20</v>
      </c>
      <c r="S52" s="266">
        <f t="shared" si="43"/>
        <v>8.770869107742996</v>
      </c>
      <c r="T52" s="263">
        <f t="shared" si="44"/>
        <v>8</v>
      </c>
      <c r="U52" s="264">
        <f t="shared" si="35"/>
        <v>5.7309713989033435</v>
      </c>
      <c r="V52" s="265">
        <f t="shared" si="36"/>
        <v>0.1301553257511254</v>
      </c>
      <c r="W52" s="265">
        <f t="shared" si="37"/>
        <v>0.03877631025605711</v>
      </c>
      <c r="X52" s="61">
        <f t="shared" si="33"/>
        <v>0.034033284089526876</v>
      </c>
      <c r="Y52" s="158"/>
    </row>
    <row r="53" spans="1:25" ht="15.75">
      <c r="A53" s="111" t="s">
        <v>70</v>
      </c>
      <c r="B53" s="111" t="s">
        <v>33</v>
      </c>
      <c r="C53" s="112">
        <v>68</v>
      </c>
      <c r="D53" s="113">
        <f t="shared" si="31"/>
        <v>415.3046975799451</v>
      </c>
      <c r="E53" s="67">
        <f t="shared" si="32"/>
        <v>0.41333507904026506</v>
      </c>
      <c r="F53" s="192">
        <f>F52+F15</f>
        <v>18.479999999999947</v>
      </c>
      <c r="G53" s="131">
        <f t="shared" si="38"/>
        <v>0.02025237395692144</v>
      </c>
      <c r="H53" s="171">
        <f t="shared" si="34"/>
        <v>0.02700316527589525</v>
      </c>
      <c r="I53" s="192">
        <f t="shared" si="39"/>
        <v>0.4125237395692144</v>
      </c>
      <c r="J53" s="192">
        <f t="shared" si="40"/>
        <v>0.2725237395692144</v>
      </c>
      <c r="K53" s="142">
        <f t="shared" si="41"/>
        <v>9.266678268284174</v>
      </c>
      <c r="L53" s="67">
        <f t="shared" si="18"/>
        <v>0.18641516556321108</v>
      </c>
      <c r="M53" s="133">
        <f>L53+$D$5+$D$6</f>
        <v>0.2664151655632111</v>
      </c>
      <c r="N53" s="138">
        <f>G53+2*$D$7</f>
        <v>0.030252373956921437</v>
      </c>
      <c r="O53" s="114">
        <f t="shared" si="42"/>
        <v>0.15945492070247075</v>
      </c>
      <c r="P53" s="112">
        <v>1</v>
      </c>
      <c r="Q53" s="111">
        <v>0</v>
      </c>
      <c r="R53" s="115">
        <v>21</v>
      </c>
      <c r="S53" s="266">
        <f t="shared" si="43"/>
        <v>8.3545850398634</v>
      </c>
      <c r="T53" s="263">
        <f t="shared" si="44"/>
        <v>8</v>
      </c>
      <c r="U53" s="264">
        <f t="shared" si="35"/>
        <v>6.016528619932733</v>
      </c>
      <c r="V53" s="265">
        <f t="shared" si="36"/>
        <v>0.1265110784656334</v>
      </c>
      <c r="W53" s="265">
        <f t="shared" si="37"/>
        <v>0.03370446991500211</v>
      </c>
      <c r="X53" s="61">
        <f t="shared" si="33"/>
        <v>0.03325237395692144</v>
      </c>
      <c r="Y53" s="158"/>
    </row>
    <row r="54" spans="1:25" ht="15.75">
      <c r="A54" s="116" t="s">
        <v>17</v>
      </c>
      <c r="B54" s="111" t="s">
        <v>34</v>
      </c>
      <c r="C54" s="112">
        <v>69</v>
      </c>
      <c r="D54" s="113">
        <f aca="true" t="shared" si="45" ref="D54:D69">$A$11*POWER(2,(C54-69)/12)</f>
        <v>440</v>
      </c>
      <c r="E54" s="67">
        <f aca="true" t="shared" si="46" ref="E54:E69">0.5*$B$11/D54</f>
        <v>0.3901363636363636</v>
      </c>
      <c r="F54" s="192">
        <f>F53+F15</f>
        <v>18.559999999999945</v>
      </c>
      <c r="G54" s="131">
        <f t="shared" si="38"/>
        <v>0.01950681818181818</v>
      </c>
      <c r="H54" s="171">
        <f t="shared" si="34"/>
        <v>0.02600909090909091</v>
      </c>
      <c r="I54" s="192">
        <f t="shared" si="39"/>
        <v>0.4084015151515151</v>
      </c>
      <c r="J54" s="192">
        <f t="shared" si="40"/>
        <v>0.2684015151515151</v>
      </c>
      <c r="K54" s="142">
        <f t="shared" si="41"/>
        <v>8.886818882722517</v>
      </c>
      <c r="L54" s="67">
        <f t="shared" si="18"/>
        <v>0.17556136363636363</v>
      </c>
      <c r="M54" s="133">
        <f aca="true" t="shared" si="47" ref="M54:M74">L54+$D$5+$D$6</f>
        <v>0.2555613636363636</v>
      </c>
      <c r="N54" s="138">
        <f aca="true" t="shared" si="48" ref="N54:N74">G54+2*$D$7</f>
        <v>0.029506818181818183</v>
      </c>
      <c r="O54" s="114">
        <f t="shared" si="42"/>
        <v>0.18896173888428894</v>
      </c>
      <c r="P54" s="112">
        <v>1</v>
      </c>
      <c r="Q54" s="112">
        <v>11</v>
      </c>
      <c r="R54" s="115">
        <v>22</v>
      </c>
      <c r="S54" s="266">
        <f t="shared" si="43"/>
        <v>7.966614101239668</v>
      </c>
      <c r="T54" s="263">
        <f t="shared" si="44"/>
        <v>8</v>
      </c>
      <c r="U54" s="264">
        <f t="shared" si="35"/>
        <v>6.309531171112992</v>
      </c>
      <c r="V54" s="265">
        <f t="shared" si="36"/>
        <v>0.12303181818181817</v>
      </c>
      <c r="W54" s="265">
        <f t="shared" si="37"/>
        <v>0.031442179225206604</v>
      </c>
      <c r="X54" s="61">
        <f t="shared" si="33"/>
        <v>0.032506818181818185</v>
      </c>
      <c r="Y54" s="158"/>
    </row>
    <row r="55" spans="1:25" ht="15.75">
      <c r="A55" s="111" t="s">
        <v>71</v>
      </c>
      <c r="B55" s="111" t="s">
        <v>35</v>
      </c>
      <c r="C55" s="112">
        <v>70</v>
      </c>
      <c r="D55" s="113">
        <f t="shared" si="45"/>
        <v>466.1637615180899</v>
      </c>
      <c r="E55" s="67">
        <f t="shared" si="46"/>
        <v>0.36823969207940793</v>
      </c>
      <c r="F55" s="192">
        <f>F54+F15</f>
        <v>18.639999999999944</v>
      </c>
      <c r="G55" s="131">
        <f t="shared" si="38"/>
        <v>0.01879475886637684</v>
      </c>
      <c r="H55" s="171">
        <f t="shared" si="34"/>
        <v>0.025059678488502452</v>
      </c>
      <c r="I55" s="192">
        <f t="shared" si="39"/>
        <v>0.40461425533043505</v>
      </c>
      <c r="J55" s="192">
        <f t="shared" si="40"/>
        <v>0.26461425533043503</v>
      </c>
      <c r="K55" s="142">
        <f t="shared" si="41"/>
        <v>8.524594290625863</v>
      </c>
      <c r="L55" s="67">
        <f t="shared" si="18"/>
        <v>0.1653250871733271</v>
      </c>
      <c r="M55" s="133">
        <f t="shared" si="47"/>
        <v>0.2453250871733271</v>
      </c>
      <c r="N55" s="138">
        <f t="shared" si="48"/>
        <v>0.028794758866376842</v>
      </c>
      <c r="O55" s="114">
        <f t="shared" si="42"/>
        <v>0.21775649775066577</v>
      </c>
      <c r="P55" s="112">
        <v>1</v>
      </c>
      <c r="Q55" s="112">
        <v>12</v>
      </c>
      <c r="R55" s="115">
        <v>23</v>
      </c>
      <c r="S55" s="266">
        <f t="shared" si="43"/>
        <v>7.604627362834157</v>
      </c>
      <c r="T55" s="263">
        <f t="shared" si="44"/>
        <v>8</v>
      </c>
      <c r="U55" s="264">
        <f t="shared" si="35"/>
        <v>6.609870227916939</v>
      </c>
      <c r="V55" s="265">
        <f t="shared" si="36"/>
        <v>0.11970887470975859</v>
      </c>
      <c r="W55" s="265">
        <f t="shared" si="37"/>
        <v>0.02936759012359242</v>
      </c>
      <c r="X55" s="61">
        <f t="shared" si="33"/>
        <v>0.031794758866376845</v>
      </c>
      <c r="Y55" s="158"/>
    </row>
    <row r="56" spans="1:25" ht="15.75">
      <c r="A56" s="111" t="s">
        <v>18</v>
      </c>
      <c r="B56" s="111" t="s">
        <v>36</v>
      </c>
      <c r="C56" s="112">
        <v>71</v>
      </c>
      <c r="D56" s="113">
        <f t="shared" si="45"/>
        <v>493.8833012561241</v>
      </c>
      <c r="E56" s="67">
        <f t="shared" si="46"/>
        <v>0.3475719862635696</v>
      </c>
      <c r="F56" s="192">
        <f>F55+F15</f>
        <v>18.719999999999942</v>
      </c>
      <c r="G56" s="131">
        <f t="shared" si="38"/>
        <v>0.018114448307047806</v>
      </c>
      <c r="H56" s="171">
        <f t="shared" si="34"/>
        <v>0.024152597742730406</v>
      </c>
      <c r="I56" s="192">
        <f t="shared" si="39"/>
        <v>0.40114448307047806</v>
      </c>
      <c r="J56" s="192">
        <f t="shared" si="40"/>
        <v>0.26114448307047805</v>
      </c>
      <c r="K56" s="142">
        <f t="shared" si="41"/>
        <v>8.179053423207495</v>
      </c>
      <c r="L56" s="67">
        <f t="shared" si="18"/>
        <v>0.155671544824737</v>
      </c>
      <c r="M56" s="133">
        <f t="shared" si="47"/>
        <v>0.23567154482473698</v>
      </c>
      <c r="N56" s="138">
        <f t="shared" si="48"/>
        <v>0.028114448307047804</v>
      </c>
      <c r="O56" s="114">
        <f t="shared" si="42"/>
        <v>0.2458709460577136</v>
      </c>
      <c r="P56" s="112">
        <v>1</v>
      </c>
      <c r="Q56" s="112">
        <v>13</v>
      </c>
      <c r="R56" s="115">
        <v>24</v>
      </c>
      <c r="S56" s="266">
        <f t="shared" si="43"/>
        <v>7.266511002237588</v>
      </c>
      <c r="T56" s="263">
        <f t="shared" si="44"/>
        <v>8</v>
      </c>
      <c r="U56" s="264">
        <f t="shared" si="35"/>
        <v>6.917432586907476</v>
      </c>
      <c r="V56" s="265">
        <f t="shared" si="36"/>
        <v>0.11653409209955641</v>
      </c>
      <c r="W56" s="265">
        <f t="shared" si="37"/>
        <v>0.027463769509850636</v>
      </c>
      <c r="X56" s="61">
        <f t="shared" si="33"/>
        <v>0.031114448307047803</v>
      </c>
      <c r="Y56" s="158"/>
    </row>
    <row r="57" spans="1:25" ht="15.75">
      <c r="A57" s="111" t="s">
        <v>19</v>
      </c>
      <c r="B57" s="111" t="s">
        <v>100</v>
      </c>
      <c r="C57" s="112">
        <v>72</v>
      </c>
      <c r="D57" s="113">
        <f t="shared" si="45"/>
        <v>523.2511306011972</v>
      </c>
      <c r="E57" s="67">
        <f t="shared" si="46"/>
        <v>0.3280642696419378</v>
      </c>
      <c r="F57" s="192">
        <f>F56+F15</f>
        <v>18.79999999999994</v>
      </c>
      <c r="G57" s="131">
        <f t="shared" si="38"/>
        <v>0.017464241754353522</v>
      </c>
      <c r="H57" s="171">
        <f t="shared" si="34"/>
        <v>0.023285655672471362</v>
      </c>
      <c r="I57" s="192">
        <f t="shared" si="39"/>
        <v>0.39797575087686854</v>
      </c>
      <c r="J57" s="192">
        <f t="shared" si="40"/>
        <v>0.2579757508768685</v>
      </c>
      <c r="K57" s="142">
        <f t="shared" si="41"/>
        <v>7.849302840116809</v>
      </c>
      <c r="L57" s="67">
        <f t="shared" si="18"/>
        <v>0.14656789306661538</v>
      </c>
      <c r="M57" s="133">
        <f t="shared" si="47"/>
        <v>0.22656789306661537</v>
      </c>
      <c r="N57" s="138">
        <f t="shared" si="48"/>
        <v>0.027464241754353524</v>
      </c>
      <c r="O57" s="114">
        <f t="shared" si="42"/>
        <v>0.2733351878120671</v>
      </c>
      <c r="P57" s="112">
        <v>1</v>
      </c>
      <c r="Q57" s="112">
        <v>14</v>
      </c>
      <c r="R57" s="115">
        <v>25</v>
      </c>
      <c r="S57" s="266">
        <f t="shared" si="43"/>
        <v>6.950344725684003</v>
      </c>
      <c r="T57" s="263">
        <f t="shared" si="44"/>
        <v>7</v>
      </c>
      <c r="U57" s="264">
        <f t="shared" si="35"/>
        <v>5.537077874394586</v>
      </c>
      <c r="V57" s="265">
        <f t="shared" si="36"/>
        <v>0.11349979485364976</v>
      </c>
      <c r="W57" s="265">
        <f t="shared" si="37"/>
        <v>0.025715409383484503</v>
      </c>
      <c r="X57" s="61">
        <f t="shared" si="33"/>
        <v>0.030464241754353524</v>
      </c>
      <c r="Y57" s="158"/>
    </row>
    <row r="58" spans="1:25" ht="15.75">
      <c r="A58" s="111" t="s">
        <v>72</v>
      </c>
      <c r="B58" s="111" t="s">
        <v>37</v>
      </c>
      <c r="C58" s="112">
        <v>73</v>
      </c>
      <c r="D58" s="113">
        <f t="shared" si="45"/>
        <v>554.3652619537442</v>
      </c>
      <c r="E58" s="67">
        <f t="shared" si="46"/>
        <v>0.30965143702370584</v>
      </c>
      <c r="F58" s="192">
        <f>F57+F15</f>
        <v>18.87999999999994</v>
      </c>
      <c r="G58" s="131">
        <f t="shared" si="38"/>
        <v>0.016842590692608166</v>
      </c>
      <c r="H58" s="171">
        <f t="shared" si="34"/>
        <v>0.02245678759014422</v>
      </c>
      <c r="I58" s="192">
        <f t="shared" si="39"/>
        <v>0.39509257359274835</v>
      </c>
      <c r="J58" s="192">
        <f t="shared" si="40"/>
        <v>0.25509257359274834</v>
      </c>
      <c r="K58" s="142">
        <f t="shared" si="41"/>
        <v>7.534503087352987</v>
      </c>
      <c r="L58" s="67">
        <f t="shared" si="18"/>
        <v>0.13798312781924477</v>
      </c>
      <c r="M58" s="133">
        <f t="shared" si="47"/>
        <v>0.21798312781924475</v>
      </c>
      <c r="N58" s="138">
        <f t="shared" si="48"/>
        <v>0.026842590692608165</v>
      </c>
      <c r="O58" s="114">
        <f t="shared" si="42"/>
        <v>0.3001777785046753</v>
      </c>
      <c r="P58" s="112">
        <v>1</v>
      </c>
      <c r="Q58" s="112">
        <v>15</v>
      </c>
      <c r="R58" s="115">
        <v>26</v>
      </c>
      <c r="S58" s="266">
        <f t="shared" si="43"/>
        <v>6.65438250271183</v>
      </c>
      <c r="T58" s="263">
        <f t="shared" si="44"/>
        <v>7</v>
      </c>
      <c r="U58" s="264">
        <f t="shared" si="35"/>
        <v>5.783346536559409</v>
      </c>
      <c r="V58" s="265">
        <f t="shared" si="36"/>
        <v>0.11059875656550476</v>
      </c>
      <c r="W58" s="265">
        <f t="shared" si="37"/>
        <v>0.024108662889067958</v>
      </c>
      <c r="X58" s="61">
        <f t="shared" si="33"/>
        <v>0.029842590692608164</v>
      </c>
      <c r="Y58" s="158"/>
    </row>
    <row r="59" spans="1:25" ht="15.75">
      <c r="A59" s="111" t="s">
        <v>20</v>
      </c>
      <c r="B59" s="111" t="s">
        <v>38</v>
      </c>
      <c r="C59" s="112">
        <v>74</v>
      </c>
      <c r="D59" s="113">
        <f t="shared" si="45"/>
        <v>587.3295358348151</v>
      </c>
      <c r="E59" s="67">
        <f t="shared" si="46"/>
        <v>0.292272037291649</v>
      </c>
      <c r="F59" s="192">
        <f>F58+F15</f>
        <v>18.959999999999937</v>
      </c>
      <c r="G59" s="131">
        <f t="shared" si="38"/>
        <v>0.016248036599182173</v>
      </c>
      <c r="H59" s="171">
        <f t="shared" si="34"/>
        <v>0.021664048798909565</v>
      </c>
      <c r="I59" s="192">
        <f t="shared" si="39"/>
        <v>0.39248036599182173</v>
      </c>
      <c r="J59" s="192">
        <f t="shared" si="40"/>
        <v>0.2524803659918217</v>
      </c>
      <c r="K59" s="142">
        <f t="shared" si="41"/>
        <v>7.233865278333869</v>
      </c>
      <c r="L59" s="67">
        <f t="shared" si="18"/>
        <v>0.12988798204664234</v>
      </c>
      <c r="M59" s="133">
        <f t="shared" si="47"/>
        <v>0.20988798204664236</v>
      </c>
      <c r="N59" s="138">
        <f t="shared" si="48"/>
        <v>0.02624803659918217</v>
      </c>
      <c r="O59" s="114">
        <f t="shared" si="42"/>
        <v>0.3264258151038575</v>
      </c>
      <c r="P59" s="112">
        <v>1</v>
      </c>
      <c r="Q59" s="112">
        <v>16</v>
      </c>
      <c r="R59" s="115">
        <v>27</v>
      </c>
      <c r="S59" s="266">
        <f t="shared" si="43"/>
        <v>6.377035351095534</v>
      </c>
      <c r="T59" s="263">
        <f t="shared" si="44"/>
        <v>7</v>
      </c>
      <c r="U59" s="264">
        <f t="shared" si="35"/>
        <v>6.034873241433198</v>
      </c>
      <c r="V59" s="265">
        <f t="shared" si="36"/>
        <v>0.10782417079618346</v>
      </c>
      <c r="W59" s="265">
        <f t="shared" si="37"/>
        <v>0.022630997624263453</v>
      </c>
      <c r="X59" s="61">
        <f t="shared" si="33"/>
        <v>0.02924803659918217</v>
      </c>
      <c r="Y59" s="158"/>
    </row>
    <row r="60" spans="1:25" ht="15.75">
      <c r="A60" s="111" t="s">
        <v>73</v>
      </c>
      <c r="B60" s="111" t="s">
        <v>39</v>
      </c>
      <c r="C60" s="112">
        <v>75</v>
      </c>
      <c r="D60" s="113">
        <f t="shared" si="45"/>
        <v>622.2539674441618</v>
      </c>
      <c r="E60" s="67">
        <f t="shared" si="46"/>
        <v>0.2758680683147335</v>
      </c>
      <c r="F60" s="192">
        <f>F59+F15</f>
        <v>19.039999999999935</v>
      </c>
      <c r="G60" s="131">
        <f t="shared" si="38"/>
        <v>0.015679205146285385</v>
      </c>
      <c r="H60" s="171">
        <f t="shared" si="34"/>
        <v>0.020905606861713846</v>
      </c>
      <c r="I60" s="192">
        <f t="shared" si="39"/>
        <v>0.3901253847961872</v>
      </c>
      <c r="J60" s="192">
        <f t="shared" si="40"/>
        <v>0.2501253847961872</v>
      </c>
      <c r="K60" s="142">
        <f t="shared" si="41"/>
        <v>6.9466478853126645</v>
      </c>
      <c r="L60" s="67">
        <f t="shared" si="18"/>
        <v>0.12225482901108135</v>
      </c>
      <c r="M60" s="133">
        <f t="shared" si="47"/>
        <v>0.20225482901108136</v>
      </c>
      <c r="N60" s="138">
        <f t="shared" si="48"/>
        <v>0.025679205146285383</v>
      </c>
      <c r="O60" s="114">
        <f t="shared" si="42"/>
        <v>0.3521050202501429</v>
      </c>
      <c r="P60" s="112">
        <v>1</v>
      </c>
      <c r="Q60" s="112">
        <v>17</v>
      </c>
      <c r="R60" s="115">
        <v>28</v>
      </c>
      <c r="S60" s="266">
        <f t="shared" si="43"/>
        <v>6.116855940992944</v>
      </c>
      <c r="T60" s="263">
        <f t="shared" si="44"/>
        <v>7</v>
      </c>
      <c r="U60" s="264">
        <f t="shared" si="35"/>
        <v>6.291565531581381</v>
      </c>
      <c r="V60" s="265">
        <f t="shared" si="36"/>
        <v>0.10516962401599846</v>
      </c>
      <c r="W60" s="265">
        <f t="shared" si="37"/>
        <v>0.021271064322515482</v>
      </c>
      <c r="X60" s="61">
        <f t="shared" si="33"/>
        <v>0.028679205146285382</v>
      </c>
      <c r="Y60" s="158"/>
    </row>
    <row r="61" spans="1:25" ht="15.75">
      <c r="A61" s="111" t="s">
        <v>21</v>
      </c>
      <c r="B61" s="111" t="s">
        <v>40</v>
      </c>
      <c r="C61" s="112">
        <v>76</v>
      </c>
      <c r="D61" s="113">
        <f t="shared" si="45"/>
        <v>659.2551138257398</v>
      </c>
      <c r="E61" s="67">
        <f t="shared" si="46"/>
        <v>0.2603847833713956</v>
      </c>
      <c r="F61" s="192">
        <f>F60+F15</f>
        <v>19.119999999999933</v>
      </c>
      <c r="G61" s="131">
        <f t="shared" si="38"/>
        <v>0.015134800811311388</v>
      </c>
      <c r="H61" s="171">
        <f t="shared" si="34"/>
        <v>0.020179734415081852</v>
      </c>
      <c r="I61" s="192">
        <f t="shared" si="39"/>
        <v>0.3880146747797806</v>
      </c>
      <c r="J61" s="192">
        <f t="shared" si="40"/>
        <v>0.24801467477978056</v>
      </c>
      <c r="K61" s="142">
        <f t="shared" si="41"/>
        <v>6.6721537291041955</v>
      </c>
      <c r="L61" s="67">
        <f t="shared" si="18"/>
        <v>0.11505759087438641</v>
      </c>
      <c r="M61" s="133">
        <f t="shared" si="47"/>
        <v>0.19505759087438643</v>
      </c>
      <c r="N61" s="138">
        <f t="shared" si="48"/>
        <v>0.02513480081131139</v>
      </c>
      <c r="O61" s="114">
        <f t="shared" si="42"/>
        <v>0.37723982106145426</v>
      </c>
      <c r="P61" s="112">
        <v>1</v>
      </c>
      <c r="Q61" s="112">
        <v>18</v>
      </c>
      <c r="R61" s="115">
        <v>29</v>
      </c>
      <c r="S61" s="266">
        <f t="shared" si="43"/>
        <v>5.872524814657747</v>
      </c>
      <c r="T61" s="263">
        <f t="shared" si="44"/>
        <v>7</v>
      </c>
      <c r="U61" s="264">
        <f t="shared" si="35"/>
        <v>6.553331184560163</v>
      </c>
      <c r="V61" s="265">
        <f t="shared" si="36"/>
        <v>0.10262907045278648</v>
      </c>
      <c r="W61" s="265">
        <f t="shared" si="37"/>
        <v>0.020018579236198205</v>
      </c>
      <c r="X61" s="61">
        <f t="shared" si="33"/>
        <v>0.028134800811311388</v>
      </c>
      <c r="Y61" s="158"/>
    </row>
    <row r="62" spans="1:25" ht="15.75">
      <c r="A62" s="111" t="s">
        <v>22</v>
      </c>
      <c r="B62" s="111" t="s">
        <v>30</v>
      </c>
      <c r="C62" s="112">
        <v>77</v>
      </c>
      <c r="D62" s="113">
        <f t="shared" si="45"/>
        <v>698.4564628660078</v>
      </c>
      <c r="E62" s="67">
        <f t="shared" si="46"/>
        <v>0.24577050843744763</v>
      </c>
      <c r="F62" s="192">
        <f>F61+F15</f>
        <v>19.199999999999932</v>
      </c>
      <c r="G62" s="131">
        <f t="shared" si="38"/>
        <v>0.014613601864582434</v>
      </c>
      <c r="H62" s="171">
        <f t="shared" si="34"/>
        <v>0.01948480248610991</v>
      </c>
      <c r="I62" s="192">
        <f t="shared" si="39"/>
        <v>0.38613601864582436</v>
      </c>
      <c r="J62" s="192">
        <f t="shared" si="40"/>
        <v>0.24613601864582435</v>
      </c>
      <c r="K62" s="142">
        <f t="shared" si="41"/>
        <v>6.409727155781841</v>
      </c>
      <c r="L62" s="67">
        <f t="shared" si="18"/>
        <v>0.10827165235414138</v>
      </c>
      <c r="M62" s="133">
        <f t="shared" si="47"/>
        <v>0.18827165235414137</v>
      </c>
      <c r="N62" s="138">
        <f t="shared" si="48"/>
        <v>0.024613601864582432</v>
      </c>
      <c r="O62" s="114">
        <f t="shared" si="42"/>
        <v>0.4018534229260367</v>
      </c>
      <c r="P62" s="112">
        <v>1</v>
      </c>
      <c r="Q62" s="112">
        <v>19</v>
      </c>
      <c r="R62" s="115">
        <v>30</v>
      </c>
      <c r="S62" s="266">
        <f t="shared" si="43"/>
        <v>5.642838042065057</v>
      </c>
      <c r="T62" s="263">
        <f t="shared" si="44"/>
        <v>7</v>
      </c>
      <c r="U62" s="264">
        <f t="shared" si="35"/>
        <v>6.820078781831589</v>
      </c>
      <c r="V62" s="265">
        <f t="shared" si="36"/>
        <v>0.10019680870138468</v>
      </c>
      <c r="W62" s="265">
        <f t="shared" si="37"/>
        <v>0.018864218734821504</v>
      </c>
      <c r="X62" s="61">
        <f t="shared" si="33"/>
        <v>0.02761360186458243</v>
      </c>
      <c r="Y62" s="61"/>
    </row>
    <row r="63" spans="1:25" ht="15.75">
      <c r="A63" s="111" t="s">
        <v>74</v>
      </c>
      <c r="B63" s="111" t="s">
        <v>31</v>
      </c>
      <c r="C63" s="112">
        <v>78</v>
      </c>
      <c r="D63" s="113">
        <f t="shared" si="45"/>
        <v>739.9888454232688</v>
      </c>
      <c r="E63" s="67">
        <f t="shared" si="46"/>
        <v>0.23197646972882624</v>
      </c>
      <c r="F63" s="192">
        <f>F62+F15</f>
        <v>19.27999999999993</v>
      </c>
      <c r="G63" s="131">
        <f t="shared" si="38"/>
        <v>0.01411445570588601</v>
      </c>
      <c r="H63" s="171">
        <f t="shared" si="34"/>
        <v>0.018819274274514682</v>
      </c>
      <c r="I63" s="192">
        <f t="shared" si="39"/>
        <v>0.3844778903921935</v>
      </c>
      <c r="J63" s="192">
        <f t="shared" si="40"/>
        <v>0.24447789039219345</v>
      </c>
      <c r="K63" s="142">
        <f t="shared" si="41"/>
        <v>6.158751389645938</v>
      </c>
      <c r="L63" s="67">
        <f t="shared" si="18"/>
        <v>0.1018737791585271</v>
      </c>
      <c r="M63" s="133">
        <f t="shared" si="47"/>
        <v>0.18187377915852712</v>
      </c>
      <c r="N63" s="138">
        <f t="shared" si="48"/>
        <v>0.02411445570588601</v>
      </c>
      <c r="O63" s="114">
        <f t="shared" si="42"/>
        <v>0.4259678786319227</v>
      </c>
      <c r="P63" s="112">
        <v>1</v>
      </c>
      <c r="Q63" s="112">
        <v>20</v>
      </c>
      <c r="R63" s="115">
        <v>31</v>
      </c>
      <c r="S63" s="266">
        <f t="shared" si="43"/>
        <v>5.426696153833112</v>
      </c>
      <c r="T63" s="263">
        <f t="shared" si="44"/>
        <v>6</v>
      </c>
      <c r="U63" s="264">
        <f t="shared" si="35"/>
        <v>5.210241959102236</v>
      </c>
      <c r="V63" s="265">
        <f t="shared" si="36"/>
        <v>0.09786745996080139</v>
      </c>
      <c r="W63" s="265">
        <f t="shared" si="37"/>
        <v>0.017799524799716786</v>
      </c>
      <c r="X63" s="61">
        <f t="shared" si="33"/>
        <v>0.02711445570588601</v>
      </c>
      <c r="Y63" s="158"/>
    </row>
    <row r="64" spans="1:25" ht="15.75">
      <c r="A64" s="111" t="s">
        <v>23</v>
      </c>
      <c r="B64" s="111" t="s">
        <v>32</v>
      </c>
      <c r="C64" s="112">
        <v>79</v>
      </c>
      <c r="D64" s="113">
        <f t="shared" si="45"/>
        <v>783.9908719634985</v>
      </c>
      <c r="E64" s="67">
        <f t="shared" si="46"/>
        <v>0.21895663092362155</v>
      </c>
      <c r="F64" s="192">
        <f>F63+F15</f>
        <v>19.35999999999993</v>
      </c>
      <c r="G64" s="131">
        <f t="shared" si="38"/>
        <v>0.013636274523522725</v>
      </c>
      <c r="H64" s="171">
        <f t="shared" si="34"/>
        <v>0.018181699364696966</v>
      </c>
      <c r="I64" s="192">
        <f t="shared" si="39"/>
        <v>0.38302941190189393</v>
      </c>
      <c r="J64" s="192">
        <f t="shared" si="40"/>
        <v>0.24302941190189392</v>
      </c>
      <c r="K64" s="142">
        <f t="shared" si="41"/>
        <v>5.918646052351433</v>
      </c>
      <c r="L64" s="67">
        <f t="shared" si="18"/>
        <v>0.09584204093828805</v>
      </c>
      <c r="M64" s="133">
        <f t="shared" si="47"/>
        <v>0.17584204093828806</v>
      </c>
      <c r="N64" s="138">
        <f t="shared" si="48"/>
        <v>0.023636274523522724</v>
      </c>
      <c r="O64" s="114">
        <f t="shared" si="42"/>
        <v>0.44960415315544544</v>
      </c>
      <c r="P64" s="112">
        <v>1</v>
      </c>
      <c r="Q64" s="112">
        <v>21</v>
      </c>
      <c r="R64" s="115">
        <v>32</v>
      </c>
      <c r="S64" s="266">
        <f t="shared" si="43"/>
        <v>5.223094211277688</v>
      </c>
      <c r="T64" s="263">
        <f t="shared" si="44"/>
        <v>6</v>
      </c>
      <c r="U64" s="264">
        <f t="shared" si="35"/>
        <v>5.413342906767794</v>
      </c>
      <c r="V64" s="265">
        <f t="shared" si="36"/>
        <v>0.09563594777643937</v>
      </c>
      <c r="W64" s="265">
        <f t="shared" si="37"/>
        <v>0.01681682024407663</v>
      </c>
      <c r="X64" s="61">
        <f t="shared" si="33"/>
        <v>0.026636274523522723</v>
      </c>
      <c r="Y64" s="158"/>
    </row>
    <row r="65" spans="1:25" ht="15.75">
      <c r="A65" s="111" t="s">
        <v>75</v>
      </c>
      <c r="B65" s="111" t="s">
        <v>33</v>
      </c>
      <c r="C65" s="112">
        <v>80</v>
      </c>
      <c r="D65" s="113">
        <f t="shared" si="45"/>
        <v>830.6093951598903</v>
      </c>
      <c r="E65" s="67">
        <f t="shared" si="46"/>
        <v>0.20666753952013253</v>
      </c>
      <c r="F65" s="192">
        <f>F64+F15</f>
        <v>19.439999999999927</v>
      </c>
      <c r="G65" s="131">
        <f t="shared" si="38"/>
        <v>0.013178031251711695</v>
      </c>
      <c r="H65" s="171">
        <f t="shared" si="34"/>
        <v>0.01757070833561559</v>
      </c>
      <c r="I65" s="192">
        <f t="shared" si="39"/>
        <v>0.38178031251711697</v>
      </c>
      <c r="J65" s="192">
        <f t="shared" si="40"/>
        <v>0.24178031251711696</v>
      </c>
      <c r="K65" s="142">
        <f t="shared" si="41"/>
        <v>5.688864838624742</v>
      </c>
      <c r="L65" s="67">
        <f t="shared" si="18"/>
        <v>0.09015573850835457</v>
      </c>
      <c r="M65" s="133">
        <f t="shared" si="47"/>
        <v>0.17015573850835455</v>
      </c>
      <c r="N65" s="138">
        <f t="shared" si="48"/>
        <v>0.023178031251711695</v>
      </c>
      <c r="O65" s="114">
        <f t="shared" si="42"/>
        <v>0.47278218440715714</v>
      </c>
      <c r="P65" s="112">
        <v>1</v>
      </c>
      <c r="Q65" s="112">
        <v>22</v>
      </c>
      <c r="R65" s="115">
        <v>33</v>
      </c>
      <c r="S65" s="266">
        <f t="shared" si="43"/>
        <v>5.031112889638825</v>
      </c>
      <c r="T65" s="263">
        <f t="shared" si="44"/>
        <v>6</v>
      </c>
      <c r="U65" s="264">
        <f t="shared" si="35"/>
        <v>5.619909674105876</v>
      </c>
      <c r="V65" s="265">
        <f t="shared" si="36"/>
        <v>0.09349747917465458</v>
      </c>
      <c r="W65" s="265">
        <f t="shared" si="37"/>
        <v>0.01590913261763285</v>
      </c>
      <c r="X65" s="61">
        <f t="shared" si="33"/>
        <v>0.026178031251711694</v>
      </c>
      <c r="Y65" s="158"/>
    </row>
    <row r="66" spans="1:25" ht="15.75">
      <c r="A66" s="111" t="s">
        <v>24</v>
      </c>
      <c r="B66" s="111" t="s">
        <v>34</v>
      </c>
      <c r="C66" s="112">
        <v>81</v>
      </c>
      <c r="D66" s="113">
        <f t="shared" si="45"/>
        <v>880</v>
      </c>
      <c r="E66" s="67">
        <f t="shared" si="46"/>
        <v>0.1950681818181818</v>
      </c>
      <c r="F66" s="192">
        <f>F65+F15</f>
        <v>19.519999999999925</v>
      </c>
      <c r="G66" s="131">
        <f t="shared" si="38"/>
        <v>0.012738755804142512</v>
      </c>
      <c r="H66" s="171">
        <f t="shared" si="34"/>
        <v>0.016985007738856684</v>
      </c>
      <c r="I66" s="192">
        <f t="shared" si="39"/>
        <v>0.38072089137475845</v>
      </c>
      <c r="J66" s="192">
        <f t="shared" si="40"/>
        <v>0.24072089137475844</v>
      </c>
      <c r="K66" s="142">
        <f t="shared" si="41"/>
        <v>5.468893339502722</v>
      </c>
      <c r="L66" s="67">
        <f t="shared" si="18"/>
        <v>0.0847953351049484</v>
      </c>
      <c r="M66" s="133">
        <f t="shared" si="47"/>
        <v>0.1647953351049484</v>
      </c>
      <c r="N66" s="138">
        <f t="shared" si="48"/>
        <v>0.022738755804142512</v>
      </c>
      <c r="O66" s="114">
        <f t="shared" si="42"/>
        <v>0.49552094021129967</v>
      </c>
      <c r="P66" s="112">
        <v>1</v>
      </c>
      <c r="Q66" s="112">
        <v>23</v>
      </c>
      <c r="R66" s="115">
        <v>34</v>
      </c>
      <c r="S66" s="266">
        <f t="shared" si="43"/>
        <v>4.849910464758516</v>
      </c>
      <c r="T66" s="263">
        <f t="shared" si="44"/>
        <v>6</v>
      </c>
      <c r="U66" s="264">
        <f t="shared" si="35"/>
        <v>5.829880820574659</v>
      </c>
      <c r="V66" s="265">
        <f t="shared" si="36"/>
        <v>0.09144752708599839</v>
      </c>
      <c r="W66" s="265">
        <f t="shared" si="37"/>
        <v>0.01507012587065595</v>
      </c>
      <c r="X66" s="61">
        <f t="shared" si="33"/>
        <v>0.02573875580414251</v>
      </c>
      <c r="Y66" s="158"/>
    </row>
    <row r="67" spans="1:25" ht="15.75">
      <c r="A67" s="111" t="s">
        <v>76</v>
      </c>
      <c r="B67" s="111" t="s">
        <v>35</v>
      </c>
      <c r="C67" s="112">
        <v>82</v>
      </c>
      <c r="D67" s="113">
        <f t="shared" si="45"/>
        <v>932.3275230361796</v>
      </c>
      <c r="E67" s="67">
        <f t="shared" si="46"/>
        <v>0.18411984603970402</v>
      </c>
      <c r="F67" s="192">
        <f>F66+F15</f>
        <v>19.599999999999923</v>
      </c>
      <c r="G67" s="131">
        <f t="shared" si="38"/>
        <v>0.012317531563239111</v>
      </c>
      <c r="H67" s="171">
        <f t="shared" si="34"/>
        <v>0.01642337541765215</v>
      </c>
      <c r="I67" s="192">
        <f t="shared" si="39"/>
        <v>0.3798419822990578</v>
      </c>
      <c r="J67" s="192">
        <f t="shared" si="40"/>
        <v>0.2398419822990578</v>
      </c>
      <c r="K67" s="142">
        <f t="shared" si="41"/>
        <v>5.258247004496209</v>
      </c>
      <c r="L67" s="67">
        <f t="shared" si="18"/>
        <v>0.0797423914566129</v>
      </c>
      <c r="M67" s="133">
        <f t="shared" si="47"/>
        <v>0.1597423914566129</v>
      </c>
      <c r="N67" s="138">
        <f t="shared" si="48"/>
        <v>0.02231753156323911</v>
      </c>
      <c r="O67" s="114">
        <f t="shared" si="42"/>
        <v>0.5178384717745388</v>
      </c>
      <c r="P67" s="112">
        <v>1</v>
      </c>
      <c r="Q67" s="112">
        <v>24</v>
      </c>
      <c r="R67" s="115">
        <v>35</v>
      </c>
      <c r="S67" s="266">
        <f t="shared" si="43"/>
        <v>4.678715606011956</v>
      </c>
      <c r="T67" s="263">
        <f t="shared" si="44"/>
        <v>6</v>
      </c>
      <c r="U67" s="264">
        <f t="shared" si="35"/>
        <v>6.043196975611975</v>
      </c>
      <c r="V67" s="265">
        <f t="shared" si="36"/>
        <v>0.08948181396178252</v>
      </c>
      <c r="W67" s="265">
        <f t="shared" si="37"/>
        <v>0.014294038954130873</v>
      </c>
      <c r="X67" s="61">
        <f t="shared" si="33"/>
        <v>0.02531753156323911</v>
      </c>
      <c r="Y67" s="158"/>
    </row>
    <row r="68" spans="1:25" ht="15.75">
      <c r="A68" s="111" t="s">
        <v>25</v>
      </c>
      <c r="B68" s="111" t="s">
        <v>36</v>
      </c>
      <c r="C68" s="112">
        <v>83</v>
      </c>
      <c r="D68" s="113">
        <f t="shared" si="45"/>
        <v>987.7666025122483</v>
      </c>
      <c r="E68" s="67">
        <f t="shared" si="46"/>
        <v>0.1737859931317848</v>
      </c>
      <c r="F68" s="192">
        <f>F67+F15</f>
        <v>19.67999999999992</v>
      </c>
      <c r="G68" s="131">
        <f t="shared" si="38"/>
        <v>0.011913492106325387</v>
      </c>
      <c r="H68" s="171">
        <f t="shared" si="34"/>
        <v>0.015884656141767182</v>
      </c>
      <c r="I68" s="192">
        <f t="shared" si="39"/>
        <v>0.37913492106325386</v>
      </c>
      <c r="J68" s="192">
        <f t="shared" si="40"/>
        <v>0.23913492106325387</v>
      </c>
      <c r="K68" s="142">
        <f t="shared" si="41"/>
        <v>5.0564692345209465</v>
      </c>
      <c r="L68" s="67">
        <f t="shared" si="18"/>
        <v>0.07497950445956701</v>
      </c>
      <c r="M68" s="133">
        <f t="shared" si="47"/>
        <v>0.154979504459567</v>
      </c>
      <c r="N68" s="138">
        <f t="shared" si="48"/>
        <v>0.021913492106325386</v>
      </c>
      <c r="O68" s="114">
        <f t="shared" si="42"/>
        <v>0.5397519638808642</v>
      </c>
      <c r="P68" s="112">
        <v>1</v>
      </c>
      <c r="Q68" s="112">
        <v>25</v>
      </c>
      <c r="R68" s="115">
        <v>36</v>
      </c>
      <c r="S68" s="266">
        <f t="shared" si="43"/>
        <v>4.516820889319374</v>
      </c>
      <c r="T68" s="263">
        <f t="shared" si="44"/>
        <v>6</v>
      </c>
      <c r="U68" s="264">
        <f t="shared" si="35"/>
        <v>6.259801017759769</v>
      </c>
      <c r="V68" s="265">
        <f t="shared" si="36"/>
        <v>0.08759629649618512</v>
      </c>
      <c r="W68" s="265">
        <f t="shared" si="37"/>
        <v>0.013575630623472078</v>
      </c>
      <c r="X68" s="61">
        <f t="shared" si="33"/>
        <v>0.024913492106325385</v>
      </c>
      <c r="Y68" s="158"/>
    </row>
    <row r="69" spans="1:25" ht="15.75">
      <c r="A69" s="111" t="s">
        <v>26</v>
      </c>
      <c r="B69" s="111" t="s">
        <v>101</v>
      </c>
      <c r="C69" s="112">
        <v>84</v>
      </c>
      <c r="D69" s="113">
        <f t="shared" si="45"/>
        <v>1046.5022612023945</v>
      </c>
      <c r="E69" s="67">
        <f t="shared" si="46"/>
        <v>0.1640321348209689</v>
      </c>
      <c r="F69" s="192">
        <f>F68+F15</f>
        <v>19.75999999999992</v>
      </c>
      <c r="G69" s="131">
        <f t="shared" si="38"/>
        <v>0.011525818151369237</v>
      </c>
      <c r="H69" s="171">
        <f t="shared" si="34"/>
        <v>0.015367757535158982</v>
      </c>
      <c r="I69" s="192">
        <f t="shared" si="39"/>
        <v>0.3785915148470257</v>
      </c>
      <c r="J69" s="192">
        <f t="shared" si="40"/>
        <v>0.2385915148470257</v>
      </c>
      <c r="K69" s="142">
        <f t="shared" si="41"/>
        <v>4.863129597854054</v>
      </c>
      <c r="L69" s="67">
        <f t="shared" si="18"/>
        <v>0.0704902492591152</v>
      </c>
      <c r="M69" s="133">
        <f t="shared" si="47"/>
        <v>0.1504902492591152</v>
      </c>
      <c r="N69" s="138">
        <f t="shared" si="48"/>
        <v>0.02152581815136924</v>
      </c>
      <c r="O69" s="114">
        <f t="shared" si="42"/>
        <v>0.5612777820322334</v>
      </c>
      <c r="P69" s="112">
        <v>1</v>
      </c>
      <c r="Q69" s="112">
        <v>26</v>
      </c>
      <c r="R69" s="115">
        <v>37</v>
      </c>
      <c r="S69" s="266">
        <f t="shared" si="43"/>
        <v>4.3635769537782245</v>
      </c>
      <c r="T69" s="263">
        <f t="shared" si="44"/>
        <v>6</v>
      </c>
      <c r="U69" s="264">
        <f t="shared" si="35"/>
        <v>6.479638218713771</v>
      </c>
      <c r="V69" s="265">
        <f t="shared" si="36"/>
        <v>0.08578715137305644</v>
      </c>
      <c r="W69" s="265">
        <f t="shared" si="37"/>
        <v>0.01291012979336071</v>
      </c>
      <c r="X69" s="61">
        <f t="shared" si="33"/>
        <v>0.024525818151369238</v>
      </c>
      <c r="Y69" s="158"/>
    </row>
    <row r="70" spans="1:25" ht="15.75">
      <c r="A70" s="111" t="s">
        <v>77</v>
      </c>
      <c r="B70" s="111" t="s">
        <v>37</v>
      </c>
      <c r="C70" s="112">
        <v>85</v>
      </c>
      <c r="D70" s="113">
        <f>$A$11*POWER(2,(C70-69)/12)</f>
        <v>1108.7305239074883</v>
      </c>
      <c r="E70" s="67">
        <f>0.5*$B$11/D70</f>
        <v>0.15482571851185292</v>
      </c>
      <c r="F70" s="192">
        <f>F69+F15</f>
        <v>19.839999999999918</v>
      </c>
      <c r="G70" s="131">
        <f t="shared" si="38"/>
        <v>0.011153734706343121</v>
      </c>
      <c r="H70" s="171">
        <f t="shared" si="34"/>
        <v>0.014871646275124162</v>
      </c>
      <c r="I70" s="192">
        <f t="shared" si="39"/>
        <v>0.37820401373009793</v>
      </c>
      <c r="J70" s="192">
        <f t="shared" si="40"/>
        <v>0.2382040137300979</v>
      </c>
      <c r="K70" s="142">
        <f t="shared" si="41"/>
        <v>4.677822161767419</v>
      </c>
      <c r="L70" s="67">
        <f t="shared" si="18"/>
        <v>0.06625912454958334</v>
      </c>
      <c r="M70" s="133">
        <f t="shared" si="47"/>
        <v>0.14625912454958334</v>
      </c>
      <c r="N70" s="138">
        <f t="shared" si="48"/>
        <v>0.021153734706343123</v>
      </c>
      <c r="O70" s="114">
        <f t="shared" si="42"/>
        <v>0.5824315167385765</v>
      </c>
      <c r="P70" s="112">
        <v>1</v>
      </c>
      <c r="Q70" s="111">
        <v>28</v>
      </c>
      <c r="R70" s="115">
        <v>38</v>
      </c>
      <c r="S70" s="266">
        <f t="shared" si="43"/>
        <v>4.218387234019664</v>
      </c>
      <c r="T70" s="263">
        <f t="shared" si="44"/>
        <v>6</v>
      </c>
      <c r="U70" s="264">
        <f t="shared" si="35"/>
        <v>6.702656354537081</v>
      </c>
      <c r="V70" s="265">
        <f t="shared" si="36"/>
        <v>0.08405076196293457</v>
      </c>
      <c r="W70" s="265">
        <f t="shared" si="37"/>
        <v>0.012293190862424228</v>
      </c>
      <c r="X70" s="61">
        <f t="shared" si="33"/>
        <v>0.024153734706343123</v>
      </c>
      <c r="Y70" s="158"/>
    </row>
    <row r="71" spans="1:25" ht="15.75">
      <c r="A71" s="111" t="s">
        <v>27</v>
      </c>
      <c r="B71" s="111" t="s">
        <v>38</v>
      </c>
      <c r="C71" s="112">
        <v>86</v>
      </c>
      <c r="D71" s="113">
        <f>$A$11*POWER(2,(C71-69)/12)</f>
        <v>1174.6590716696303</v>
      </c>
      <c r="E71" s="67">
        <f>0.5*$B$11/D71</f>
        <v>0.1461360186458245</v>
      </c>
      <c r="F71" s="192">
        <f>F70+F15</f>
        <v>19.919999999999916</v>
      </c>
      <c r="G71" s="131">
        <f t="shared" si="38"/>
        <v>0.01079650840748622</v>
      </c>
      <c r="H71" s="171">
        <f t="shared" si="34"/>
        <v>0.01439534454331496</v>
      </c>
      <c r="I71" s="192">
        <f t="shared" si="39"/>
        <v>0.37796508407486223</v>
      </c>
      <c r="J71" s="192">
        <f t="shared" si="40"/>
        <v>0.23796508407486222</v>
      </c>
      <c r="K71" s="142">
        <f t="shared" si="41"/>
        <v>4.500163932863512</v>
      </c>
      <c r="L71" s="67">
        <f t="shared" si="18"/>
        <v>0.062271500915426034</v>
      </c>
      <c r="M71" s="133">
        <f t="shared" si="47"/>
        <v>0.14227150091542604</v>
      </c>
      <c r="N71" s="138">
        <f t="shared" si="48"/>
        <v>0.02079650840748622</v>
      </c>
      <c r="O71" s="114">
        <f t="shared" si="42"/>
        <v>0.6032280251460628</v>
      </c>
      <c r="P71" s="112">
        <v>1</v>
      </c>
      <c r="Q71" s="112">
        <v>27</v>
      </c>
      <c r="R71" s="115">
        <v>39</v>
      </c>
      <c r="S71" s="266">
        <f t="shared" si="43"/>
        <v>4.080703207950487</v>
      </c>
      <c r="T71" s="263">
        <f t="shared" si="44"/>
        <v>6</v>
      </c>
      <c r="U71" s="264">
        <f t="shared" si="35"/>
        <v>6.928805786442058</v>
      </c>
      <c r="V71" s="265">
        <f t="shared" si="36"/>
        <v>0.08238370590160236</v>
      </c>
      <c r="W71" s="265">
        <f t="shared" si="37"/>
        <v>0.01172085348959601</v>
      </c>
      <c r="X71" s="61">
        <f t="shared" si="33"/>
        <v>0.02379650840748622</v>
      </c>
      <c r="Y71" s="158"/>
    </row>
    <row r="72" spans="1:25" ht="15.75">
      <c r="A72" s="111" t="s">
        <v>78</v>
      </c>
      <c r="B72" s="111" t="s">
        <v>39</v>
      </c>
      <c r="C72" s="112">
        <v>87</v>
      </c>
      <c r="D72" s="113">
        <f>$A$11*POWER(2,(C72-69)/12)</f>
        <v>1244.5079348883235</v>
      </c>
      <c r="E72" s="67">
        <f>0.5*$B$11/D72</f>
        <v>0.13793403415736677</v>
      </c>
      <c r="F72" s="192">
        <f>F71+F15</f>
        <v>19.999999999999915</v>
      </c>
      <c r="G72" s="131">
        <f t="shared" si="38"/>
        <v>0.01045344503289657</v>
      </c>
      <c r="H72" s="171">
        <f t="shared" si="34"/>
        <v>0.013937926710528759</v>
      </c>
      <c r="I72" s="192">
        <f t="shared" si="39"/>
        <v>0.377867783662299</v>
      </c>
      <c r="J72" s="192">
        <f t="shared" si="40"/>
        <v>0.23786778366229902</v>
      </c>
      <c r="K72" s="142">
        <f t="shared" si="41"/>
        <v>4.32979339949582</v>
      </c>
      <c r="L72" s="67">
        <f t="shared" si="18"/>
        <v>0.05851357204578682</v>
      </c>
      <c r="M72" s="133">
        <f t="shared" si="47"/>
        <v>0.13851357204578682</v>
      </c>
      <c r="N72" s="138">
        <f t="shared" si="48"/>
        <v>0.020453445032896568</v>
      </c>
      <c r="O72" s="114">
        <f t="shared" si="42"/>
        <v>0.6236814701789594</v>
      </c>
      <c r="P72" s="112">
        <v>1</v>
      </c>
      <c r="Q72" s="112"/>
      <c r="R72" s="115">
        <v>40</v>
      </c>
      <c r="S72" s="266">
        <f t="shared" si="43"/>
        <v>3.9500201062162947</v>
      </c>
      <c r="T72" s="263">
        <f t="shared" si="44"/>
        <v>5</v>
      </c>
      <c r="U72" s="264">
        <f t="shared" si="35"/>
        <v>4.970860773366612</v>
      </c>
      <c r="V72" s="265">
        <f t="shared" si="36"/>
        <v>0.08078274348685065</v>
      </c>
      <c r="W72" s="265">
        <f t="shared" si="37"/>
        <v>0.011189506360022203</v>
      </c>
      <c r="X72" s="61">
        <f t="shared" si="33"/>
        <v>0.023453445032896567</v>
      </c>
      <c r="Y72" s="158"/>
    </row>
    <row r="73" spans="1:25" ht="15.75">
      <c r="A73" s="111" t="s">
        <v>28</v>
      </c>
      <c r="B73" s="111" t="s">
        <v>40</v>
      </c>
      <c r="C73" s="112">
        <v>88</v>
      </c>
      <c r="D73" s="113">
        <f>$A$11*POWER(2,(C73-69)/12)</f>
        <v>1318.5102276514795</v>
      </c>
      <c r="E73" s="67">
        <f>0.5*$B$11/D73</f>
        <v>0.1301923916856978</v>
      </c>
      <c r="F73" s="192">
        <f>F72+F15</f>
        <v>20.079999999999913</v>
      </c>
      <c r="G73" s="131">
        <f t="shared" si="38"/>
        <v>0.01012388717892971</v>
      </c>
      <c r="H73" s="171">
        <f t="shared" si="34"/>
        <v>0.013498516238572946</v>
      </c>
      <c r="I73" s="192">
        <f t="shared" si="39"/>
        <v>0.37790553845596375</v>
      </c>
      <c r="J73" s="192">
        <f t="shared" si="40"/>
        <v>0.23790553845596374</v>
      </c>
      <c r="K73" s="142">
        <f t="shared" si="41"/>
        <v>4.166369169997522</v>
      </c>
      <c r="L73" s="67">
        <f t="shared" si="18"/>
        <v>0.05497230866391919</v>
      </c>
      <c r="M73" s="133">
        <f t="shared" si="47"/>
        <v>0.13497230866391918</v>
      </c>
      <c r="N73" s="138">
        <f t="shared" si="48"/>
        <v>0.02012388717892971</v>
      </c>
      <c r="O73" s="114">
        <f t="shared" si="42"/>
        <v>0.643805357357889</v>
      </c>
      <c r="P73" s="112">
        <v>1</v>
      </c>
      <c r="Q73" s="112"/>
      <c r="R73" s="115">
        <v>41</v>
      </c>
      <c r="S73" s="266">
        <f t="shared" si="43"/>
        <v>3.8258730356208597</v>
      </c>
      <c r="T73" s="263">
        <f t="shared" si="44"/>
        <v>5</v>
      </c>
      <c r="U73" s="264">
        <f t="shared" si="35"/>
        <v>5.132161945048353</v>
      </c>
      <c r="V73" s="265">
        <f t="shared" si="36"/>
        <v>0.07924480683500532</v>
      </c>
      <c r="W73" s="265">
        <f t="shared" si="37"/>
        <v>0.01069585452814699</v>
      </c>
      <c r="X73" s="61"/>
      <c r="Y73" s="158"/>
    </row>
    <row r="74" spans="1:25" ht="15.75">
      <c r="A74" s="111" t="s">
        <v>96</v>
      </c>
      <c r="B74" s="111" t="s">
        <v>30</v>
      </c>
      <c r="C74" s="112">
        <v>89</v>
      </c>
      <c r="D74" s="113">
        <f>$A$11*POWER(2,(C74-69)/12)</f>
        <v>1396.9129257320155</v>
      </c>
      <c r="E74" s="67">
        <f>0.5*$B$11/D74</f>
        <v>0.12288525421872382</v>
      </c>
      <c r="F74" s="192">
        <f>F73+F15</f>
        <v>20.15999999999991</v>
      </c>
      <c r="G74" s="131">
        <f t="shared" si="38"/>
        <v>0.009807212087842382</v>
      </c>
      <c r="H74" s="171">
        <f t="shared" si="34"/>
        <v>0.013076282783789842</v>
      </c>
      <c r="I74" s="192">
        <f t="shared" si="39"/>
        <v>0.37807212087842385</v>
      </c>
      <c r="J74" s="192">
        <f t="shared" si="40"/>
        <v>0.23807212087842383</v>
      </c>
      <c r="K74" s="142">
        <f t="shared" si="41"/>
        <v>4.009568700769179</v>
      </c>
      <c r="L74" s="67">
        <f t="shared" si="18"/>
        <v>0.051635415021519526</v>
      </c>
      <c r="M74" s="133">
        <f t="shared" si="47"/>
        <v>0.13163541502151954</v>
      </c>
      <c r="N74" s="138">
        <f t="shared" si="48"/>
        <v>0.019807212087842384</v>
      </c>
      <c r="O74" s="166">
        <f t="shared" si="42"/>
        <v>0.6636125694457314</v>
      </c>
      <c r="P74" s="112">
        <v>1</v>
      </c>
      <c r="Q74" s="112"/>
      <c r="R74" s="115">
        <v>42</v>
      </c>
      <c r="S74" s="266">
        <f t="shared" si="43"/>
        <v>3.7078334739550844</v>
      </c>
      <c r="T74" s="263">
        <f t="shared" si="44"/>
        <v>5</v>
      </c>
      <c r="U74" s="264">
        <f t="shared" si="35"/>
        <v>5.295545265967856</v>
      </c>
      <c r="V74" s="265">
        <f t="shared" si="36"/>
        <v>0.07776698974326444</v>
      </c>
      <c r="W74" s="265">
        <f t="shared" si="37"/>
        <v>0.010236889969828869</v>
      </c>
      <c r="X74" s="61"/>
      <c r="Y74" s="158"/>
    </row>
    <row r="75" spans="14:24" ht="15.75">
      <c r="N75" s="88">
        <f>SUM(N49:N74)</f>
        <v>0.6636125694457314</v>
      </c>
      <c r="O75" s="105">
        <f>N75+(25*0.0048)</f>
        <v>0.7836125694457314</v>
      </c>
      <c r="S75" s="197">
        <f>SUM(S32:S74)</f>
        <v>443.77195314026744</v>
      </c>
      <c r="T75" s="158"/>
      <c r="U75" s="158"/>
      <c r="W75" s="164">
        <f>SUM(W49:W74)</f>
        <v>0.5898789033049867</v>
      </c>
      <c r="X75" s="21">
        <f>SUM(X37:X74)</f>
        <v>1.17238520382563</v>
      </c>
    </row>
    <row r="76" spans="1:25" s="25" customFormat="1" ht="15.75">
      <c r="A76" s="29"/>
      <c r="B76" s="26"/>
      <c r="C76" s="291" t="s">
        <v>120</v>
      </c>
      <c r="D76" s="291"/>
      <c r="E76" s="291"/>
      <c r="F76" s="291"/>
      <c r="G76" s="291"/>
      <c r="H76" s="26"/>
      <c r="I76" s="26"/>
      <c r="J76" s="27">
        <f>O75+O48+O31</f>
        <v>2.579555962011792</v>
      </c>
      <c r="K76" s="291" t="s">
        <v>119</v>
      </c>
      <c r="L76" s="304"/>
      <c r="M76" s="304"/>
      <c r="N76" s="304"/>
      <c r="O76" s="28">
        <f>W75+W48+W31</f>
        <v>6.605527410224922</v>
      </c>
      <c r="P76" s="26"/>
      <c r="Q76" s="26"/>
      <c r="R76" s="96"/>
      <c r="S76" s="196"/>
      <c r="T76" s="159"/>
      <c r="U76" s="159"/>
      <c r="V76" s="161"/>
      <c r="W76" s="164"/>
      <c r="X76" s="155"/>
      <c r="Y76" s="149"/>
    </row>
    <row r="77" spans="15:19" ht="15.75">
      <c r="O77" s="181"/>
      <c r="P77" s="180" t="s">
        <v>122</v>
      </c>
      <c r="Q77" s="180"/>
      <c r="R77" s="182"/>
      <c r="S77" s="197">
        <f>S34+S37+S32+S44+S46+S49+S50+S51+S52+S54+S55+S56+S57+S58+S59+S60+S61+S62+S63+S64+S65+S66+S67+S68+S69+S71</f>
        <v>232.4613136526943</v>
      </c>
    </row>
    <row r="78" ht="15.75">
      <c r="V78" s="159"/>
    </row>
    <row r="79" ht="15.75">
      <c r="E79" s="9">
        <f>(20-16)/53</f>
        <v>0.07547169811320754</v>
      </c>
    </row>
    <row r="81" spans="13:14" ht="15.75">
      <c r="M81" s="96"/>
      <c r="N81" s="174"/>
    </row>
    <row r="82" spans="13:14" ht="15.75">
      <c r="M82" s="96"/>
      <c r="N82" s="174"/>
    </row>
    <row r="83" spans="13:21" ht="15.75">
      <c r="M83" s="96"/>
      <c r="N83" s="174"/>
      <c r="T83" s="174"/>
      <c r="U83" s="174"/>
    </row>
    <row r="84" spans="13:21" ht="15.75">
      <c r="M84" s="96"/>
      <c r="N84" s="174"/>
      <c r="T84" s="174"/>
      <c r="U84" s="174"/>
    </row>
    <row r="85" spans="13:21" ht="15.75">
      <c r="M85" s="96"/>
      <c r="N85" s="174"/>
      <c r="T85" s="174"/>
      <c r="U85" s="174"/>
    </row>
    <row r="86" spans="13:21" ht="15.75">
      <c r="M86" s="96"/>
      <c r="N86" s="174"/>
      <c r="T86" s="174"/>
      <c r="U86" s="174"/>
    </row>
    <row r="87" spans="13:21" ht="15.75">
      <c r="M87" s="96"/>
      <c r="N87" s="174"/>
      <c r="T87" s="174"/>
      <c r="U87" s="174"/>
    </row>
    <row r="88" spans="13:21" ht="15.75">
      <c r="M88" s="96"/>
      <c r="N88" s="174"/>
      <c r="T88" s="174"/>
      <c r="U88" s="174"/>
    </row>
    <row r="89" spans="13:21" ht="15.75">
      <c r="M89" s="96"/>
      <c r="N89" s="174"/>
      <c r="T89" s="174"/>
      <c r="U89" s="174"/>
    </row>
    <row r="90" spans="13:21" ht="15.75">
      <c r="M90" s="96"/>
      <c r="N90" s="174"/>
      <c r="T90" s="174"/>
      <c r="U90" s="174"/>
    </row>
    <row r="91" spans="13:21" ht="15.75">
      <c r="M91" s="96"/>
      <c r="N91" s="174"/>
      <c r="T91" s="174"/>
      <c r="U91" s="174"/>
    </row>
    <row r="92" spans="13:21" ht="15.75">
      <c r="M92" s="96"/>
      <c r="N92" s="174"/>
      <c r="T92" s="174"/>
      <c r="U92" s="174"/>
    </row>
    <row r="93" spans="13:21" ht="15.75">
      <c r="M93" s="96"/>
      <c r="N93" s="174"/>
      <c r="T93" s="174"/>
      <c r="U93" s="174"/>
    </row>
    <row r="94" spans="13:21" ht="15.75">
      <c r="M94" s="96"/>
      <c r="N94" s="174"/>
      <c r="T94" s="174"/>
      <c r="U94" s="174"/>
    </row>
    <row r="95" spans="13:21" ht="15.75">
      <c r="M95" s="96"/>
      <c r="N95" s="174"/>
      <c r="T95" s="174"/>
      <c r="U95" s="174"/>
    </row>
    <row r="96" spans="13:21" ht="15.75">
      <c r="M96" s="96"/>
      <c r="N96" s="174"/>
      <c r="T96" s="174"/>
      <c r="U96" s="174"/>
    </row>
    <row r="97" spans="13:21" ht="15.75">
      <c r="M97" s="96"/>
      <c r="N97" s="174"/>
      <c r="T97" s="174"/>
      <c r="U97" s="174"/>
    </row>
    <row r="98" spans="13:21" ht="15.75">
      <c r="M98" s="96"/>
      <c r="N98" s="174"/>
      <c r="T98" s="174"/>
      <c r="U98" s="174"/>
    </row>
    <row r="99" spans="13:21" ht="15.75">
      <c r="M99" s="96"/>
      <c r="N99" s="174"/>
      <c r="T99" s="174"/>
      <c r="U99" s="174"/>
    </row>
    <row r="100" spans="13:21" ht="15.75">
      <c r="M100" s="96"/>
      <c r="N100" s="174"/>
      <c r="T100" s="174"/>
      <c r="U100" s="174"/>
    </row>
    <row r="101" spans="13:21" ht="15.75">
      <c r="M101" s="96"/>
      <c r="N101" s="174"/>
      <c r="T101" s="174"/>
      <c r="U101" s="174"/>
    </row>
    <row r="102" spans="13:21" ht="15.75">
      <c r="M102" s="96"/>
      <c r="N102" s="174"/>
      <c r="T102" s="174"/>
      <c r="U102" s="174"/>
    </row>
    <row r="103" spans="20:21" ht="15.75">
      <c r="T103" s="174"/>
      <c r="U103" s="174"/>
    </row>
    <row r="104" spans="20:21" ht="15.75">
      <c r="T104" s="174"/>
      <c r="U104" s="174"/>
    </row>
  </sheetData>
  <mergeCells count="15">
    <mergeCell ref="A1:S1"/>
    <mergeCell ref="C76:G76"/>
    <mergeCell ref="L14:M14"/>
    <mergeCell ref="A17:B17"/>
    <mergeCell ref="J10:K10"/>
    <mergeCell ref="J11:K11"/>
    <mergeCell ref="A16:B16"/>
    <mergeCell ref="A4:B4"/>
    <mergeCell ref="A15:B15"/>
    <mergeCell ref="K76:N76"/>
    <mergeCell ref="I14:J14"/>
    <mergeCell ref="A14:B14"/>
    <mergeCell ref="A5:B5"/>
    <mergeCell ref="A6:B6"/>
    <mergeCell ref="A7:B7"/>
  </mergeCells>
  <printOptions gridLines="1"/>
  <pageMargins left="0.1968503937007874" right="0.15748031496062992" top="0.4724409448818898" bottom="0.3937007874015748" header="0.2755905511811024" footer="0.15748031496062992"/>
  <pageSetup horizontalDpi="600" verticalDpi="600" orientation="landscape" paperSize="9" scale="7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H30" sqref="H30"/>
    </sheetView>
  </sheetViews>
  <sheetFormatPr defaultColWidth="11.421875" defaultRowHeight="12.75"/>
  <cols>
    <col min="1" max="1" width="7.7109375" style="0" customWidth="1"/>
    <col min="2" max="3" width="7.8515625" style="0" customWidth="1"/>
    <col min="4" max="4" width="8.57421875" style="0" customWidth="1"/>
    <col min="5" max="5" width="9.00390625" style="0" customWidth="1"/>
    <col min="6" max="6" width="8.8515625" style="0" customWidth="1"/>
    <col min="7" max="8" width="8.140625" style="0" customWidth="1"/>
    <col min="9" max="10" width="7.8515625" style="168" customWidth="1"/>
    <col min="11" max="11" width="6.8515625" style="0" customWidth="1"/>
    <col min="12" max="12" width="9.00390625" style="0" customWidth="1"/>
    <col min="13" max="13" width="7.421875" style="0" customWidth="1"/>
    <col min="14" max="14" width="8.00390625" style="168" customWidth="1"/>
    <col min="15" max="15" width="8.28125" style="0" customWidth="1"/>
    <col min="16" max="16" width="13.57421875" style="0" customWidth="1"/>
    <col min="17" max="17" width="8.28125" style="0" customWidth="1"/>
    <col min="18" max="18" width="10.8515625" style="19" customWidth="1"/>
  </cols>
  <sheetData>
    <row r="1" spans="2:8" ht="12.75">
      <c r="B1" s="19"/>
      <c r="C1" s="19"/>
      <c r="D1" s="19"/>
      <c r="E1" s="156"/>
      <c r="F1" s="156"/>
      <c r="G1" s="19"/>
      <c r="H1" s="19"/>
    </row>
    <row r="2" spans="5:8" ht="12.75">
      <c r="E2" s="156"/>
      <c r="F2" s="156"/>
      <c r="G2" s="19"/>
      <c r="H2" s="19"/>
    </row>
    <row r="3" spans="1:14" ht="18">
      <c r="A3" s="305" t="s">
        <v>126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8" ht="38.25">
      <c r="A4" s="200" t="s">
        <v>128</v>
      </c>
      <c r="B4" s="201" t="s">
        <v>129</v>
      </c>
      <c r="C4" s="201" t="s">
        <v>130</v>
      </c>
      <c r="D4" s="201" t="s">
        <v>160</v>
      </c>
      <c r="E4" s="201" t="s">
        <v>131</v>
      </c>
      <c r="F4" s="201" t="s">
        <v>161</v>
      </c>
      <c r="G4" s="201" t="s">
        <v>132</v>
      </c>
      <c r="H4" s="201" t="s">
        <v>133</v>
      </c>
      <c r="I4" s="201" t="s">
        <v>134</v>
      </c>
      <c r="J4" s="201" t="s">
        <v>135</v>
      </c>
      <c r="K4" s="201" t="s">
        <v>179</v>
      </c>
      <c r="L4" s="201" t="s">
        <v>180</v>
      </c>
      <c r="M4" s="201" t="s">
        <v>136</v>
      </c>
      <c r="N4" s="201" t="s">
        <v>137</v>
      </c>
      <c r="O4" s="201" t="s">
        <v>138</v>
      </c>
      <c r="P4" s="201" t="s">
        <v>139</v>
      </c>
      <c r="Q4" s="201" t="s">
        <v>181</v>
      </c>
      <c r="R4" s="201"/>
    </row>
    <row r="5" spans="1:17" ht="15">
      <c r="A5" s="161"/>
      <c r="C5" s="202"/>
      <c r="D5" s="202"/>
      <c r="I5"/>
      <c r="J5"/>
      <c r="N5"/>
      <c r="Q5" s="19"/>
    </row>
    <row r="6" spans="1:17" ht="15.75">
      <c r="A6" s="161"/>
      <c r="B6" s="203" t="s">
        <v>140</v>
      </c>
      <c r="C6" s="203" t="s">
        <v>4</v>
      </c>
      <c r="D6" s="203"/>
      <c r="E6" s="203" t="s">
        <v>141</v>
      </c>
      <c r="F6" s="203"/>
      <c r="G6" s="203" t="s">
        <v>142</v>
      </c>
      <c r="H6" s="203" t="s">
        <v>143</v>
      </c>
      <c r="I6" s="203" t="s">
        <v>144</v>
      </c>
      <c r="J6" s="203" t="s">
        <v>145</v>
      </c>
      <c r="K6" s="203" t="s">
        <v>146</v>
      </c>
      <c r="L6" s="203" t="s">
        <v>105</v>
      </c>
      <c r="M6" s="203" t="s">
        <v>123</v>
      </c>
      <c r="N6" s="203" t="s">
        <v>147</v>
      </c>
      <c r="O6" s="203" t="s">
        <v>148</v>
      </c>
      <c r="P6" s="203"/>
      <c r="Q6" s="19"/>
    </row>
    <row r="7" spans="1:17" ht="15.75">
      <c r="A7" s="204" t="s">
        <v>10</v>
      </c>
      <c r="B7" s="203" t="s">
        <v>149</v>
      </c>
      <c r="C7" s="203" t="s">
        <v>150</v>
      </c>
      <c r="D7" s="203"/>
      <c r="E7" s="203" t="s">
        <v>151</v>
      </c>
      <c r="F7" s="203"/>
      <c r="G7" s="203" t="s">
        <v>152</v>
      </c>
      <c r="H7" s="203" t="s">
        <v>153</v>
      </c>
      <c r="I7" s="203" t="s">
        <v>154</v>
      </c>
      <c r="J7" s="203" t="s">
        <v>155</v>
      </c>
      <c r="K7" s="203" t="s">
        <v>156</v>
      </c>
      <c r="L7" s="203" t="s">
        <v>202</v>
      </c>
      <c r="M7" s="203" t="s">
        <v>157</v>
      </c>
      <c r="N7" s="203" t="s">
        <v>158</v>
      </c>
      <c r="O7" s="203" t="s">
        <v>159</v>
      </c>
      <c r="Q7" s="19"/>
    </row>
    <row r="8" spans="1:17" ht="15.75">
      <c r="A8" s="204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Q8" s="19"/>
    </row>
    <row r="9" spans="1:18" ht="18">
      <c r="A9" s="211">
        <v>11</v>
      </c>
      <c r="B9" s="235">
        <f>2*A9</f>
        <v>22</v>
      </c>
      <c r="C9" s="211">
        <f aca="true" t="shared" si="0" ref="C9:C27">B9*2</f>
        <v>44</v>
      </c>
      <c r="D9" s="206">
        <v>50</v>
      </c>
      <c r="E9" s="214">
        <f>2*A9*2.7</f>
        <v>59.400000000000006</v>
      </c>
      <c r="F9" s="208" t="s">
        <v>187</v>
      </c>
      <c r="G9" s="212">
        <f>A9/2</f>
        <v>5.5</v>
      </c>
      <c r="H9" s="212">
        <f>A9/4</f>
        <v>2.75</v>
      </c>
      <c r="I9" s="212">
        <f>A9*5.45</f>
        <v>59.95</v>
      </c>
      <c r="J9" s="213">
        <f>A9*12</f>
        <v>132</v>
      </c>
      <c r="K9" s="212">
        <f>0.6*A9</f>
        <v>6.6</v>
      </c>
      <c r="L9" s="212">
        <f aca="true" t="shared" si="1" ref="L9:L20">B9*2.8</f>
        <v>61.599999999999994</v>
      </c>
      <c r="M9" s="214">
        <f>3.1416*A9*A9</f>
        <v>380.1336</v>
      </c>
      <c r="N9" s="212">
        <f>M9/7</f>
        <v>54.3048</v>
      </c>
      <c r="O9" s="212">
        <f>M9/5</f>
        <v>76.02672</v>
      </c>
      <c r="P9" s="211" t="s">
        <v>169</v>
      </c>
      <c r="Q9" s="241"/>
      <c r="R9" s="250"/>
    </row>
    <row r="10" spans="1:18" ht="18">
      <c r="A10" s="205">
        <v>10.5</v>
      </c>
      <c r="B10" s="205">
        <f>2*A10</f>
        <v>21</v>
      </c>
      <c r="C10" s="205">
        <f t="shared" si="0"/>
        <v>42</v>
      </c>
      <c r="D10" s="205">
        <v>48</v>
      </c>
      <c r="E10" s="207">
        <f>2*A10*2.7</f>
        <v>56.7</v>
      </c>
      <c r="F10" s="207">
        <v>57</v>
      </c>
      <c r="G10" s="209">
        <f>A10/2</f>
        <v>5.25</v>
      </c>
      <c r="H10" s="209">
        <f>A10/4</f>
        <v>2.625</v>
      </c>
      <c r="I10" s="209">
        <f>A10*5.45</f>
        <v>57.225</v>
      </c>
      <c r="J10" s="210">
        <f>A10*12</f>
        <v>126</v>
      </c>
      <c r="K10" s="209">
        <f>0.6*A10</f>
        <v>6.3</v>
      </c>
      <c r="L10" s="209">
        <f>B10*2.8</f>
        <v>58.8</v>
      </c>
      <c r="M10" s="207">
        <f>3.1416*A10*A10</f>
        <v>346.3614</v>
      </c>
      <c r="N10" s="209">
        <f>M10/7</f>
        <v>49.4802</v>
      </c>
      <c r="O10" s="209">
        <f>M10/5</f>
        <v>69.27228</v>
      </c>
      <c r="P10" s="211"/>
      <c r="Q10" s="241"/>
      <c r="R10" s="250"/>
    </row>
    <row r="11" spans="1:18" ht="18">
      <c r="A11" s="205">
        <v>10</v>
      </c>
      <c r="B11" s="205">
        <f>2*A11</f>
        <v>20</v>
      </c>
      <c r="C11" s="205">
        <f t="shared" si="0"/>
        <v>40</v>
      </c>
      <c r="D11" s="205">
        <v>46</v>
      </c>
      <c r="E11" s="207">
        <f>2*A11*2.7</f>
        <v>54</v>
      </c>
      <c r="F11" s="207">
        <v>54</v>
      </c>
      <c r="G11" s="209">
        <f>A11/2</f>
        <v>5</v>
      </c>
      <c r="H11" s="209">
        <f>A11/4</f>
        <v>2.5</v>
      </c>
      <c r="I11" s="209">
        <f>A11*5.45</f>
        <v>54.5</v>
      </c>
      <c r="J11" s="210">
        <f>A11*12</f>
        <v>120</v>
      </c>
      <c r="K11" s="209">
        <f>0.6*A11</f>
        <v>6</v>
      </c>
      <c r="L11" s="209">
        <f t="shared" si="1"/>
        <v>56</v>
      </c>
      <c r="M11" s="207">
        <f>3.1416*A11*A11</f>
        <v>314.16</v>
      </c>
      <c r="N11" s="209">
        <f>M11/7</f>
        <v>44.88</v>
      </c>
      <c r="O11" s="209">
        <f>M11/5</f>
        <v>62.83200000000001</v>
      </c>
      <c r="P11" s="205"/>
      <c r="Q11" s="241"/>
      <c r="R11" s="250"/>
    </row>
    <row r="12" spans="1:18" ht="18">
      <c r="A12" s="211">
        <v>9.5</v>
      </c>
      <c r="B12" s="235">
        <f aca="true" t="shared" si="2" ref="B12:B27">2*A12</f>
        <v>19</v>
      </c>
      <c r="C12" s="211">
        <f t="shared" si="0"/>
        <v>38</v>
      </c>
      <c r="D12" s="206">
        <v>44</v>
      </c>
      <c r="E12" s="214">
        <f aca="true" t="shared" si="3" ref="E12:E27">2*A12*2.7</f>
        <v>51.300000000000004</v>
      </c>
      <c r="F12" s="208">
        <v>51</v>
      </c>
      <c r="G12" s="212">
        <f aca="true" t="shared" si="4" ref="G12:G27">A12/2</f>
        <v>4.75</v>
      </c>
      <c r="H12" s="212">
        <f aca="true" t="shared" si="5" ref="H12:H27">A12/4</f>
        <v>2.375</v>
      </c>
      <c r="I12" s="212">
        <f aca="true" t="shared" si="6" ref="I12:I27">A12*5.45</f>
        <v>51.775</v>
      </c>
      <c r="J12" s="213">
        <f aca="true" t="shared" si="7" ref="J12:J27">A12*12</f>
        <v>114</v>
      </c>
      <c r="K12" s="212">
        <f aca="true" t="shared" si="8" ref="K12:K27">0.6*A12</f>
        <v>5.7</v>
      </c>
      <c r="L12" s="212">
        <f t="shared" si="1"/>
        <v>53.199999999999996</v>
      </c>
      <c r="M12" s="214">
        <f aca="true" t="shared" si="9" ref="M12:M27">3.1416*A12*A12</f>
        <v>283.5294</v>
      </c>
      <c r="N12" s="212">
        <f aca="true" t="shared" si="10" ref="N12:N27">M12/7</f>
        <v>40.504200000000004</v>
      </c>
      <c r="O12" s="212">
        <f aca="true" t="shared" si="11" ref="O12:O27">M12/5</f>
        <v>56.70588</v>
      </c>
      <c r="P12" s="211" t="s">
        <v>175</v>
      </c>
      <c r="Q12" s="241"/>
      <c r="R12" s="250"/>
    </row>
    <row r="13" spans="1:18" ht="18">
      <c r="A13" s="205">
        <v>9</v>
      </c>
      <c r="B13" s="205">
        <f t="shared" si="2"/>
        <v>18</v>
      </c>
      <c r="C13" s="205">
        <f t="shared" si="0"/>
        <v>36</v>
      </c>
      <c r="D13" s="205">
        <v>42</v>
      </c>
      <c r="E13" s="207">
        <f t="shared" si="3"/>
        <v>48.6</v>
      </c>
      <c r="F13" s="207">
        <v>48</v>
      </c>
      <c r="G13" s="209">
        <f t="shared" si="4"/>
        <v>4.5</v>
      </c>
      <c r="H13" s="209">
        <f t="shared" si="5"/>
        <v>2.25</v>
      </c>
      <c r="I13" s="209">
        <f t="shared" si="6"/>
        <v>49.050000000000004</v>
      </c>
      <c r="J13" s="210">
        <f t="shared" si="7"/>
        <v>108</v>
      </c>
      <c r="K13" s="209">
        <f t="shared" si="8"/>
        <v>5.3999999999999995</v>
      </c>
      <c r="L13" s="209">
        <f t="shared" si="1"/>
        <v>50.4</v>
      </c>
      <c r="M13" s="207">
        <f t="shared" si="9"/>
        <v>254.4696</v>
      </c>
      <c r="N13" s="209">
        <f t="shared" si="10"/>
        <v>36.3528</v>
      </c>
      <c r="O13" s="209">
        <f t="shared" si="11"/>
        <v>50.89392</v>
      </c>
      <c r="P13" s="205"/>
      <c r="Q13" s="241"/>
      <c r="R13" s="250"/>
    </row>
    <row r="14" spans="1:18" s="30" customFormat="1" ht="18">
      <c r="A14" s="211">
        <v>8.5</v>
      </c>
      <c r="B14" s="235">
        <f t="shared" si="2"/>
        <v>17</v>
      </c>
      <c r="C14" s="211">
        <f t="shared" si="0"/>
        <v>34</v>
      </c>
      <c r="D14" s="206">
        <v>40</v>
      </c>
      <c r="E14" s="214">
        <f t="shared" si="3"/>
        <v>45.900000000000006</v>
      </c>
      <c r="F14" s="208">
        <v>46</v>
      </c>
      <c r="G14" s="212">
        <f t="shared" si="4"/>
        <v>4.25</v>
      </c>
      <c r="H14" s="212">
        <f t="shared" si="5"/>
        <v>2.125</v>
      </c>
      <c r="I14" s="212">
        <f t="shared" si="6"/>
        <v>46.325</v>
      </c>
      <c r="J14" s="213">
        <f t="shared" si="7"/>
        <v>102</v>
      </c>
      <c r="K14" s="212">
        <f t="shared" si="8"/>
        <v>5.1</v>
      </c>
      <c r="L14" s="212">
        <f t="shared" si="1"/>
        <v>47.599999999999994</v>
      </c>
      <c r="M14" s="214">
        <f t="shared" si="9"/>
        <v>226.98059999999998</v>
      </c>
      <c r="N14" s="212">
        <f t="shared" si="10"/>
        <v>32.425799999999995</v>
      </c>
      <c r="O14" s="212">
        <f t="shared" si="11"/>
        <v>45.396119999999996</v>
      </c>
      <c r="P14" s="211" t="s">
        <v>164</v>
      </c>
      <c r="Q14" s="242"/>
      <c r="R14" s="250"/>
    </row>
    <row r="15" spans="1:18" s="30" customFormat="1" ht="18">
      <c r="A15" s="205">
        <v>8</v>
      </c>
      <c r="B15" s="205">
        <f t="shared" si="2"/>
        <v>16</v>
      </c>
      <c r="C15" s="205">
        <f t="shared" si="0"/>
        <v>32</v>
      </c>
      <c r="D15" s="205">
        <v>38</v>
      </c>
      <c r="E15" s="207">
        <f t="shared" si="3"/>
        <v>43.2</v>
      </c>
      <c r="F15" s="207">
        <v>43</v>
      </c>
      <c r="G15" s="209">
        <f t="shared" si="4"/>
        <v>4</v>
      </c>
      <c r="H15" s="209">
        <f t="shared" si="5"/>
        <v>2</v>
      </c>
      <c r="I15" s="209">
        <f t="shared" si="6"/>
        <v>43.6</v>
      </c>
      <c r="J15" s="210">
        <f t="shared" si="7"/>
        <v>96</v>
      </c>
      <c r="K15" s="209">
        <f t="shared" si="8"/>
        <v>4.8</v>
      </c>
      <c r="L15" s="209">
        <f t="shared" si="1"/>
        <v>44.8</v>
      </c>
      <c r="M15" s="207">
        <f t="shared" si="9"/>
        <v>201.0624</v>
      </c>
      <c r="N15" s="209">
        <f t="shared" si="10"/>
        <v>28.7232</v>
      </c>
      <c r="O15" s="209">
        <f t="shared" si="11"/>
        <v>40.21248</v>
      </c>
      <c r="P15" s="205"/>
      <c r="Q15" s="242"/>
      <c r="R15" s="250"/>
    </row>
    <row r="16" spans="1:18" s="30" customFormat="1" ht="18">
      <c r="A16" s="219">
        <v>7.5</v>
      </c>
      <c r="B16" s="236">
        <f t="shared" si="2"/>
        <v>15</v>
      </c>
      <c r="C16" s="219">
        <f t="shared" si="0"/>
        <v>30</v>
      </c>
      <c r="D16" s="220" t="s">
        <v>186</v>
      </c>
      <c r="E16" s="224">
        <f t="shared" si="3"/>
        <v>40.5</v>
      </c>
      <c r="F16" s="221" t="s">
        <v>188</v>
      </c>
      <c r="G16" s="222">
        <f t="shared" si="4"/>
        <v>3.75</v>
      </c>
      <c r="H16" s="222">
        <f t="shared" si="5"/>
        <v>1.875</v>
      </c>
      <c r="I16" s="222">
        <f t="shared" si="6"/>
        <v>40.875</v>
      </c>
      <c r="J16" s="223">
        <f t="shared" si="7"/>
        <v>90</v>
      </c>
      <c r="K16" s="222">
        <f t="shared" si="8"/>
        <v>4.5</v>
      </c>
      <c r="L16" s="222">
        <f t="shared" si="1"/>
        <v>42</v>
      </c>
      <c r="M16" s="224">
        <f t="shared" si="9"/>
        <v>176.715</v>
      </c>
      <c r="N16" s="222">
        <f t="shared" si="10"/>
        <v>25.245</v>
      </c>
      <c r="O16" s="222">
        <f t="shared" si="11"/>
        <v>35.343</v>
      </c>
      <c r="P16" s="219" t="s">
        <v>165</v>
      </c>
      <c r="Q16" s="246">
        <v>1</v>
      </c>
      <c r="R16" s="250"/>
    </row>
    <row r="17" spans="1:18" ht="18">
      <c r="A17" s="215">
        <v>7</v>
      </c>
      <c r="B17" s="215">
        <f t="shared" si="2"/>
        <v>14</v>
      </c>
      <c r="C17" s="215">
        <f t="shared" si="0"/>
        <v>28</v>
      </c>
      <c r="D17" s="215">
        <v>32</v>
      </c>
      <c r="E17" s="216">
        <f t="shared" si="3"/>
        <v>37.800000000000004</v>
      </c>
      <c r="F17" s="216">
        <v>38</v>
      </c>
      <c r="G17" s="217">
        <f t="shared" si="4"/>
        <v>3.5</v>
      </c>
      <c r="H17" s="217">
        <f t="shared" si="5"/>
        <v>1.75</v>
      </c>
      <c r="I17" s="217">
        <f t="shared" si="6"/>
        <v>38.15</v>
      </c>
      <c r="J17" s="218">
        <f t="shared" si="7"/>
        <v>84</v>
      </c>
      <c r="K17" s="217">
        <f t="shared" si="8"/>
        <v>4.2</v>
      </c>
      <c r="L17" s="217">
        <f t="shared" si="1"/>
        <v>39.199999999999996</v>
      </c>
      <c r="M17" s="216">
        <f t="shared" si="9"/>
        <v>153.9384</v>
      </c>
      <c r="N17" s="217">
        <f t="shared" si="10"/>
        <v>21.9912</v>
      </c>
      <c r="O17" s="217">
        <f t="shared" si="11"/>
        <v>30.78768</v>
      </c>
      <c r="P17" s="215"/>
      <c r="Q17" s="244"/>
      <c r="R17" s="250"/>
    </row>
    <row r="18" spans="1:18" ht="18">
      <c r="A18" s="219">
        <v>6.5</v>
      </c>
      <c r="B18" s="236">
        <f t="shared" si="2"/>
        <v>13</v>
      </c>
      <c r="C18" s="219">
        <f t="shared" si="0"/>
        <v>26</v>
      </c>
      <c r="D18" s="220">
        <v>32</v>
      </c>
      <c r="E18" s="224">
        <f t="shared" si="3"/>
        <v>35.1</v>
      </c>
      <c r="F18" s="221">
        <v>35</v>
      </c>
      <c r="G18" s="222">
        <f t="shared" si="4"/>
        <v>3.25</v>
      </c>
      <c r="H18" s="222">
        <f t="shared" si="5"/>
        <v>1.625</v>
      </c>
      <c r="I18" s="222">
        <f t="shared" si="6"/>
        <v>35.425000000000004</v>
      </c>
      <c r="J18" s="223">
        <f t="shared" si="7"/>
        <v>78</v>
      </c>
      <c r="K18" s="222">
        <f t="shared" si="8"/>
        <v>3.9</v>
      </c>
      <c r="L18" s="222">
        <f t="shared" si="1"/>
        <v>36.4</v>
      </c>
      <c r="M18" s="224">
        <f t="shared" si="9"/>
        <v>132.7326</v>
      </c>
      <c r="N18" s="222">
        <f t="shared" si="10"/>
        <v>18.9618</v>
      </c>
      <c r="O18" s="222">
        <f t="shared" si="11"/>
        <v>26.546519999999997</v>
      </c>
      <c r="P18" s="219" t="s">
        <v>166</v>
      </c>
      <c r="Q18" s="244">
        <v>2.3</v>
      </c>
      <c r="R18" s="250"/>
    </row>
    <row r="19" spans="1:18" s="198" customFormat="1" ht="18">
      <c r="A19" s="215">
        <v>6</v>
      </c>
      <c r="B19" s="215">
        <f t="shared" si="2"/>
        <v>12</v>
      </c>
      <c r="C19" s="215">
        <f t="shared" si="0"/>
        <v>24</v>
      </c>
      <c r="D19" s="215">
        <v>29</v>
      </c>
      <c r="E19" s="216">
        <f t="shared" si="3"/>
        <v>32.400000000000006</v>
      </c>
      <c r="F19" s="216">
        <v>32</v>
      </c>
      <c r="G19" s="217">
        <f t="shared" si="4"/>
        <v>3</v>
      </c>
      <c r="H19" s="217">
        <f t="shared" si="5"/>
        <v>1.5</v>
      </c>
      <c r="I19" s="217">
        <f t="shared" si="6"/>
        <v>32.7</v>
      </c>
      <c r="J19" s="218">
        <f t="shared" si="7"/>
        <v>72</v>
      </c>
      <c r="K19" s="217">
        <f t="shared" si="8"/>
        <v>3.5999999999999996</v>
      </c>
      <c r="L19" s="217">
        <f t="shared" si="1"/>
        <v>33.599999999999994</v>
      </c>
      <c r="M19" s="216">
        <f t="shared" si="9"/>
        <v>113.0976</v>
      </c>
      <c r="N19" s="217">
        <f t="shared" si="10"/>
        <v>16.1568</v>
      </c>
      <c r="O19" s="217">
        <f t="shared" si="11"/>
        <v>22.61952</v>
      </c>
      <c r="P19" s="215"/>
      <c r="Q19" s="244"/>
      <c r="R19" s="250"/>
    </row>
    <row r="20" spans="1:18" s="198" customFormat="1" ht="18">
      <c r="A20" s="219">
        <v>5.5</v>
      </c>
      <c r="B20" s="236">
        <f t="shared" si="2"/>
        <v>11</v>
      </c>
      <c r="C20" s="219">
        <f t="shared" si="0"/>
        <v>22</v>
      </c>
      <c r="D20" s="220">
        <v>27</v>
      </c>
      <c r="E20" s="224">
        <f t="shared" si="3"/>
        <v>29.700000000000003</v>
      </c>
      <c r="F20" s="221">
        <v>30</v>
      </c>
      <c r="G20" s="222">
        <f t="shared" si="4"/>
        <v>2.75</v>
      </c>
      <c r="H20" s="222">
        <f t="shared" si="5"/>
        <v>1.375</v>
      </c>
      <c r="I20" s="222">
        <f t="shared" si="6"/>
        <v>29.975</v>
      </c>
      <c r="J20" s="223">
        <f t="shared" si="7"/>
        <v>66</v>
      </c>
      <c r="K20" s="222">
        <f t="shared" si="8"/>
        <v>3.3</v>
      </c>
      <c r="L20" s="222">
        <f t="shared" si="1"/>
        <v>30.799999999999997</v>
      </c>
      <c r="M20" s="224">
        <f t="shared" si="9"/>
        <v>95.0334</v>
      </c>
      <c r="N20" s="222">
        <f t="shared" si="10"/>
        <v>13.5762</v>
      </c>
      <c r="O20" s="222">
        <f t="shared" si="11"/>
        <v>19.00668</v>
      </c>
      <c r="P20" s="219" t="s">
        <v>167</v>
      </c>
      <c r="Q20" s="244">
        <v>4</v>
      </c>
      <c r="R20" s="250"/>
    </row>
    <row r="21" spans="1:18" s="198" customFormat="1" ht="18">
      <c r="A21" s="225">
        <v>5</v>
      </c>
      <c r="B21" s="237">
        <f t="shared" si="2"/>
        <v>10</v>
      </c>
      <c r="C21" s="225">
        <f t="shared" si="0"/>
        <v>20</v>
      </c>
      <c r="D21" s="245">
        <v>25</v>
      </c>
      <c r="E21" s="229">
        <f t="shared" si="3"/>
        <v>27</v>
      </c>
      <c r="F21" s="226">
        <v>27</v>
      </c>
      <c r="G21" s="227">
        <f t="shared" si="4"/>
        <v>2.5</v>
      </c>
      <c r="H21" s="227">
        <f t="shared" si="5"/>
        <v>1.25</v>
      </c>
      <c r="I21" s="227">
        <f t="shared" si="6"/>
        <v>27.25</v>
      </c>
      <c r="J21" s="228">
        <f t="shared" si="7"/>
        <v>60</v>
      </c>
      <c r="K21" s="227">
        <f t="shared" si="8"/>
        <v>3</v>
      </c>
      <c r="L21" s="227">
        <f>B21*2.8</f>
        <v>28</v>
      </c>
      <c r="M21" s="229">
        <f t="shared" si="9"/>
        <v>78.54</v>
      </c>
      <c r="N21" s="227">
        <f t="shared" si="10"/>
        <v>11.22</v>
      </c>
      <c r="O21" s="227">
        <f t="shared" si="11"/>
        <v>15.708000000000002</v>
      </c>
      <c r="P21" s="225" t="s">
        <v>168</v>
      </c>
      <c r="Q21" s="243">
        <v>5.6</v>
      </c>
      <c r="R21" s="250"/>
    </row>
    <row r="22" spans="1:18" s="198" customFormat="1" ht="18">
      <c r="A22" s="225">
        <v>4.5</v>
      </c>
      <c r="B22" s="237">
        <f t="shared" si="2"/>
        <v>9</v>
      </c>
      <c r="C22" s="225">
        <f t="shared" si="0"/>
        <v>18</v>
      </c>
      <c r="D22" s="225" t="s">
        <v>163</v>
      </c>
      <c r="E22" s="229">
        <f t="shared" si="3"/>
        <v>24.3</v>
      </c>
      <c r="F22" s="226">
        <v>24</v>
      </c>
      <c r="G22" s="227">
        <f t="shared" si="4"/>
        <v>2.25</v>
      </c>
      <c r="H22" s="227">
        <f t="shared" si="5"/>
        <v>1.125</v>
      </c>
      <c r="I22" s="227">
        <f t="shared" si="6"/>
        <v>24.525000000000002</v>
      </c>
      <c r="J22" s="228">
        <f t="shared" si="7"/>
        <v>54</v>
      </c>
      <c r="K22" s="227">
        <f t="shared" si="8"/>
        <v>2.6999999999999997</v>
      </c>
      <c r="L22" s="227">
        <f aca="true" t="shared" si="12" ref="L22:L27">B22*2.8</f>
        <v>25.2</v>
      </c>
      <c r="M22" s="229">
        <f t="shared" si="9"/>
        <v>63.6174</v>
      </c>
      <c r="N22" s="227">
        <f t="shared" si="10"/>
        <v>9.0882</v>
      </c>
      <c r="O22" s="227">
        <f t="shared" si="11"/>
        <v>12.72348</v>
      </c>
      <c r="P22" s="225" t="s">
        <v>170</v>
      </c>
      <c r="Q22" s="247" t="s">
        <v>182</v>
      </c>
      <c r="R22" s="250"/>
    </row>
    <row r="23" spans="1:18" s="198" customFormat="1" ht="18">
      <c r="A23" s="225">
        <v>4</v>
      </c>
      <c r="B23" s="237">
        <f t="shared" si="2"/>
        <v>8</v>
      </c>
      <c r="C23" s="258">
        <f t="shared" si="0"/>
        <v>16</v>
      </c>
      <c r="D23" s="225"/>
      <c r="E23" s="229">
        <f t="shared" si="3"/>
        <v>21.6</v>
      </c>
      <c r="F23" s="226" t="s">
        <v>189</v>
      </c>
      <c r="G23" s="227">
        <f t="shared" si="4"/>
        <v>2</v>
      </c>
      <c r="H23" s="227">
        <f t="shared" si="5"/>
        <v>1</v>
      </c>
      <c r="I23" s="227">
        <f t="shared" si="6"/>
        <v>21.8</v>
      </c>
      <c r="J23" s="228">
        <f t="shared" si="7"/>
        <v>48</v>
      </c>
      <c r="K23" s="227">
        <f t="shared" si="8"/>
        <v>2.4</v>
      </c>
      <c r="L23" s="227">
        <f t="shared" si="12"/>
        <v>22.4</v>
      </c>
      <c r="M23" s="229">
        <f t="shared" si="9"/>
        <v>50.2656</v>
      </c>
      <c r="N23" s="227">
        <f t="shared" si="10"/>
        <v>7.1808</v>
      </c>
      <c r="O23" s="227">
        <f t="shared" si="11"/>
        <v>10.05312</v>
      </c>
      <c r="P23" s="225" t="s">
        <v>171</v>
      </c>
      <c r="Q23" s="248" t="s">
        <v>183</v>
      </c>
      <c r="R23" s="250"/>
    </row>
    <row r="24" spans="1:18" s="198" customFormat="1" ht="18">
      <c r="A24" s="225">
        <v>3.5</v>
      </c>
      <c r="B24" s="237">
        <f t="shared" si="2"/>
        <v>7</v>
      </c>
      <c r="C24" s="225">
        <f t="shared" si="0"/>
        <v>14</v>
      </c>
      <c r="D24" s="225"/>
      <c r="E24" s="229">
        <f t="shared" si="3"/>
        <v>18.900000000000002</v>
      </c>
      <c r="F24" s="226">
        <v>19</v>
      </c>
      <c r="G24" s="227">
        <f t="shared" si="4"/>
        <v>1.75</v>
      </c>
      <c r="H24" s="227">
        <f t="shared" si="5"/>
        <v>0.875</v>
      </c>
      <c r="I24" s="227">
        <f t="shared" si="6"/>
        <v>19.075</v>
      </c>
      <c r="J24" s="228">
        <f t="shared" si="7"/>
        <v>42</v>
      </c>
      <c r="K24" s="227">
        <f t="shared" si="8"/>
        <v>2.1</v>
      </c>
      <c r="L24" s="227">
        <f t="shared" si="12"/>
        <v>19.599999999999998</v>
      </c>
      <c r="M24" s="229">
        <f t="shared" si="9"/>
        <v>38.4846</v>
      </c>
      <c r="N24" s="227">
        <f t="shared" si="10"/>
        <v>5.4978</v>
      </c>
      <c r="O24" s="227">
        <f t="shared" si="11"/>
        <v>7.69692</v>
      </c>
      <c r="P24" s="225" t="s">
        <v>172</v>
      </c>
      <c r="Q24" s="243" t="s">
        <v>184</v>
      </c>
      <c r="R24" s="250"/>
    </row>
    <row r="25" spans="1:18" s="198" customFormat="1" ht="18">
      <c r="A25" s="225">
        <v>3</v>
      </c>
      <c r="B25" s="237">
        <f t="shared" si="2"/>
        <v>6</v>
      </c>
      <c r="C25" s="258">
        <f t="shared" si="0"/>
        <v>12</v>
      </c>
      <c r="D25" s="225" t="s">
        <v>162</v>
      </c>
      <c r="E25" s="229">
        <f t="shared" si="3"/>
        <v>16.200000000000003</v>
      </c>
      <c r="F25" s="226">
        <v>16</v>
      </c>
      <c r="G25" s="227">
        <f t="shared" si="4"/>
        <v>1.5</v>
      </c>
      <c r="H25" s="227">
        <f t="shared" si="5"/>
        <v>0.75</v>
      </c>
      <c r="I25" s="227">
        <f t="shared" si="6"/>
        <v>16.35</v>
      </c>
      <c r="J25" s="228">
        <f t="shared" si="7"/>
        <v>36</v>
      </c>
      <c r="K25" s="227">
        <f t="shared" si="8"/>
        <v>1.7999999999999998</v>
      </c>
      <c r="L25" s="227">
        <f t="shared" si="12"/>
        <v>16.799999999999997</v>
      </c>
      <c r="M25" s="229">
        <f t="shared" si="9"/>
        <v>28.2744</v>
      </c>
      <c r="N25" s="227">
        <f t="shared" si="10"/>
        <v>4.0392</v>
      </c>
      <c r="O25" s="227">
        <f t="shared" si="11"/>
        <v>5.65488</v>
      </c>
      <c r="P25" s="225" t="s">
        <v>173</v>
      </c>
      <c r="Q25" s="243" t="s">
        <v>185</v>
      </c>
      <c r="R25" s="250"/>
    </row>
    <row r="26" spans="1:18" s="198" customFormat="1" ht="18">
      <c r="A26" s="251">
        <v>2.5</v>
      </c>
      <c r="B26" s="252">
        <f t="shared" si="2"/>
        <v>5</v>
      </c>
      <c r="C26" s="251">
        <f t="shared" si="0"/>
        <v>10</v>
      </c>
      <c r="D26" s="251" t="s">
        <v>162</v>
      </c>
      <c r="E26" s="254">
        <f t="shared" si="3"/>
        <v>13.5</v>
      </c>
      <c r="F26" s="255" t="s">
        <v>190</v>
      </c>
      <c r="G26" s="256">
        <f t="shared" si="4"/>
        <v>1.25</v>
      </c>
      <c r="H26" s="256">
        <f t="shared" si="5"/>
        <v>0.625</v>
      </c>
      <c r="I26" s="256">
        <f t="shared" si="6"/>
        <v>13.625</v>
      </c>
      <c r="J26" s="253">
        <f t="shared" si="7"/>
        <v>30</v>
      </c>
      <c r="K26" s="256">
        <f t="shared" si="8"/>
        <v>1.5</v>
      </c>
      <c r="L26" s="256">
        <f t="shared" si="12"/>
        <v>14</v>
      </c>
      <c r="M26" s="254">
        <f t="shared" si="9"/>
        <v>19.635</v>
      </c>
      <c r="N26" s="256">
        <f t="shared" si="10"/>
        <v>2.805</v>
      </c>
      <c r="O26" s="256">
        <f t="shared" si="11"/>
        <v>3.9270000000000005</v>
      </c>
      <c r="P26" s="251" t="s">
        <v>174</v>
      </c>
      <c r="Q26" s="257"/>
      <c r="R26" s="250"/>
    </row>
    <row r="27" spans="1:18" ht="18">
      <c r="A27" s="230">
        <v>2</v>
      </c>
      <c r="B27" s="230">
        <f t="shared" si="2"/>
        <v>4</v>
      </c>
      <c r="C27" s="230">
        <f t="shared" si="0"/>
        <v>8</v>
      </c>
      <c r="D27" s="230"/>
      <c r="E27" s="196">
        <f t="shared" si="3"/>
        <v>10.8</v>
      </c>
      <c r="F27" s="196"/>
      <c r="G27" s="231">
        <f t="shared" si="4"/>
        <v>1</v>
      </c>
      <c r="H27" s="231">
        <f t="shared" si="5"/>
        <v>0.5</v>
      </c>
      <c r="I27" s="231">
        <f t="shared" si="6"/>
        <v>10.9</v>
      </c>
      <c r="J27" s="186">
        <f t="shared" si="7"/>
        <v>24</v>
      </c>
      <c r="K27" s="231">
        <f t="shared" si="8"/>
        <v>1.2</v>
      </c>
      <c r="L27" s="240">
        <f t="shared" si="12"/>
        <v>11.2</v>
      </c>
      <c r="M27" s="196">
        <f t="shared" si="9"/>
        <v>12.5664</v>
      </c>
      <c r="N27" s="231">
        <f t="shared" si="10"/>
        <v>1.7952</v>
      </c>
      <c r="O27" s="231">
        <f t="shared" si="11"/>
        <v>2.51328</v>
      </c>
      <c r="P27" s="231"/>
      <c r="Q27" s="231"/>
      <c r="R27" s="250"/>
    </row>
    <row r="28" spans="2:17" ht="12.75">
      <c r="B28" s="184"/>
      <c r="C28" s="172"/>
      <c r="D28" s="199"/>
      <c r="E28" s="178"/>
      <c r="F28" s="19"/>
      <c r="G28" s="19"/>
      <c r="H28" s="168"/>
      <c r="I28"/>
      <c r="J28"/>
      <c r="N28" s="173"/>
      <c r="O28" s="173"/>
      <c r="P28" s="173"/>
      <c r="Q28" s="173"/>
    </row>
    <row r="29" spans="1:13" ht="12.75">
      <c r="A29" s="19"/>
      <c r="B29" s="180"/>
      <c r="C29" s="179"/>
      <c r="D29" s="232" t="s">
        <v>191</v>
      </c>
      <c r="E29" s="163"/>
      <c r="F29" s="163"/>
      <c r="G29" s="233"/>
      <c r="H29" s="163"/>
      <c r="I29" s="163"/>
      <c r="J29" s="163"/>
      <c r="K29" s="163"/>
      <c r="L29" s="163"/>
      <c r="M29" s="176"/>
    </row>
    <row r="30" spans="1:12" ht="15.75">
      <c r="A30" s="19"/>
      <c r="B30" s="183"/>
      <c r="C30" s="177"/>
      <c r="D30" s="234" t="s">
        <v>192</v>
      </c>
      <c r="E30" s="163"/>
      <c r="F30" s="163"/>
      <c r="G30" s="233"/>
      <c r="H30" s="163"/>
      <c r="I30" s="163"/>
      <c r="J30" s="163"/>
      <c r="K30" s="151"/>
      <c r="L30" s="151"/>
    </row>
    <row r="31" spans="1:13" ht="12.75">
      <c r="A31" s="306" t="s">
        <v>176</v>
      </c>
      <c r="B31" s="307"/>
      <c r="C31" s="238" t="s">
        <v>177</v>
      </c>
      <c r="D31" s="239" t="s">
        <v>178</v>
      </c>
      <c r="E31" s="178"/>
      <c r="F31" s="19"/>
      <c r="G31" s="19"/>
      <c r="H31" s="168"/>
      <c r="I31"/>
      <c r="J31"/>
      <c r="M31" s="176"/>
    </row>
    <row r="32" spans="1:13" ht="12.75">
      <c r="A32" s="19"/>
      <c r="B32" s="180"/>
      <c r="C32" s="179"/>
      <c r="D32" s="179"/>
      <c r="E32" s="19"/>
      <c r="F32" s="232" t="s">
        <v>193</v>
      </c>
      <c r="G32" s="172"/>
      <c r="H32" s="19"/>
      <c r="I32" s="19"/>
      <c r="J32" s="19"/>
      <c r="K32" s="19"/>
      <c r="L32" s="19"/>
      <c r="M32" s="176"/>
    </row>
    <row r="33" spans="2:13" ht="15.75">
      <c r="B33" s="184"/>
      <c r="C33" s="172"/>
      <c r="D33" s="199"/>
      <c r="E33" s="178"/>
      <c r="F33" s="234" t="s">
        <v>194</v>
      </c>
      <c r="G33" s="19"/>
      <c r="H33" s="168"/>
      <c r="I33"/>
      <c r="J33"/>
      <c r="M33" s="176"/>
    </row>
    <row r="34" spans="1:12" ht="12.75">
      <c r="A34" s="19"/>
      <c r="B34" s="180"/>
      <c r="C34" s="179"/>
      <c r="D34" s="179"/>
      <c r="E34" s="19"/>
      <c r="F34" s="19"/>
      <c r="G34" s="172"/>
      <c r="H34" s="19"/>
      <c r="I34" s="19"/>
      <c r="J34" s="19"/>
      <c r="K34" s="19"/>
      <c r="L34" s="19"/>
    </row>
    <row r="35" spans="2:13" ht="12.75">
      <c r="B35" s="184"/>
      <c r="C35" s="172"/>
      <c r="D35" s="199"/>
      <c r="E35" s="178"/>
      <c r="F35" s="232"/>
      <c r="G35" s="19"/>
      <c r="H35" s="168"/>
      <c r="I35"/>
      <c r="J35"/>
      <c r="M35" s="176"/>
    </row>
    <row r="36" ht="15.75">
      <c r="F36" s="234"/>
    </row>
  </sheetData>
  <mergeCells count="2">
    <mergeCell ref="A3:N3"/>
    <mergeCell ref="A31:B31"/>
  </mergeCells>
  <printOptions/>
  <pageMargins left="0.75" right="0.3" top="0.9055118110236221" bottom="0.31496062992125984" header="0.82677165354330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Liljencrants</dc:creator>
  <cp:keywords/>
  <dc:description/>
  <cp:lastModifiedBy>MAISON</cp:lastModifiedBy>
  <cp:lastPrinted>2009-11-24T13:59:56Z</cp:lastPrinted>
  <dcterms:created xsi:type="dcterms:W3CDTF">1999-12-13T19:16:16Z</dcterms:created>
  <dcterms:modified xsi:type="dcterms:W3CDTF">2009-11-24T14:21:06Z</dcterms:modified>
  <cp:category/>
  <cp:version/>
  <cp:contentType/>
  <cp:contentStatus/>
</cp:coreProperties>
</file>